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I81" i="1" l="1"/>
  <c r="G81" i="1" l="1"/>
  <c r="I54" i="1"/>
  <c r="C28" i="4" l="1"/>
  <c r="D31" i="4"/>
  <c r="G42" i="1"/>
  <c r="N42" i="1" s="1"/>
  <c r="H124" i="1" l="1"/>
  <c r="G124" i="1"/>
  <c r="G122" i="1"/>
  <c r="N85" i="1" l="1"/>
  <c r="M87" i="1"/>
  <c r="M85" i="1"/>
  <c r="N83" i="1"/>
  <c r="G54" i="1"/>
  <c r="M83" i="1" s="1"/>
  <c r="F72" i="1" l="1"/>
  <c r="F85" i="1" l="1"/>
  <c r="F84" i="1"/>
  <c r="I23" i="1" l="1"/>
  <c r="H23" i="1"/>
  <c r="G23" i="1"/>
  <c r="F22" i="1"/>
  <c r="F23" i="1" s="1"/>
  <c r="D63" i="4" l="1"/>
  <c r="E44" i="4"/>
  <c r="D45" i="4"/>
  <c r="O85" i="1"/>
  <c r="D46" i="4" s="1"/>
  <c r="D44" i="4"/>
  <c r="O83" i="1"/>
  <c r="C46" i="4" s="1"/>
  <c r="C45" i="4"/>
  <c r="C44" i="4"/>
  <c r="E30" i="4"/>
  <c r="E29" i="4"/>
  <c r="E28" i="4"/>
  <c r="C30" i="4"/>
  <c r="C29" i="4"/>
  <c r="E31" i="4" l="1"/>
  <c r="D47" i="4"/>
  <c r="E83" i="4"/>
  <c r="C83" i="4"/>
  <c r="C79" i="4"/>
  <c r="C78" i="4"/>
  <c r="D77" i="4"/>
  <c r="D67" i="4" s="1"/>
  <c r="C75" i="4"/>
  <c r="C74" i="4"/>
  <c r="C73" i="4"/>
  <c r="C72" i="4"/>
  <c r="C71" i="4"/>
  <c r="C70" i="4"/>
  <c r="C58" i="4"/>
  <c r="C57" i="4"/>
  <c r="C56" i="4"/>
  <c r="C55" i="4"/>
  <c r="C54" i="4"/>
  <c r="C53" i="4"/>
  <c r="D50" i="4"/>
  <c r="D34" i="4"/>
  <c r="F43" i="4"/>
  <c r="C42" i="4"/>
  <c r="C41" i="4"/>
  <c r="C40" i="4"/>
  <c r="C39" i="4"/>
  <c r="C38" i="4"/>
  <c r="C37" i="4"/>
  <c r="F27" i="4"/>
  <c r="C26" i="4"/>
  <c r="C25" i="4"/>
  <c r="C24" i="4"/>
  <c r="C23" i="4"/>
  <c r="C22" i="4"/>
  <c r="C21" i="4"/>
  <c r="D18" i="4"/>
  <c r="F11" i="4"/>
  <c r="E10" i="4"/>
  <c r="C10" i="4" s="1"/>
  <c r="C9" i="4"/>
  <c r="C8" i="4"/>
  <c r="C7" i="4"/>
  <c r="C6" i="4"/>
  <c r="C5" i="4"/>
  <c r="C31" i="4" l="1"/>
  <c r="C47" i="4"/>
  <c r="C67" i="4"/>
  <c r="C34" i="4"/>
  <c r="C18" i="4"/>
  <c r="E18" i="4"/>
  <c r="B83" i="4"/>
  <c r="B67" i="4"/>
  <c r="E67" i="4" s="1"/>
  <c r="E12" i="4" l="1"/>
  <c r="I124" i="1"/>
  <c r="D13" i="4"/>
  <c r="D12" i="4"/>
  <c r="G100" i="1"/>
  <c r="G120" i="1" s="1"/>
  <c r="I120" i="1"/>
  <c r="C14" i="4" s="1"/>
  <c r="H120" i="1"/>
  <c r="C13" i="4" s="1"/>
  <c r="G126" i="1" l="1"/>
  <c r="C12" i="4"/>
  <c r="C15" i="4" s="1"/>
  <c r="D14" i="4"/>
  <c r="F124" i="1"/>
  <c r="C2" i="4"/>
  <c r="D2" i="4"/>
  <c r="D15" i="4"/>
  <c r="I55" i="1"/>
  <c r="H55" i="1"/>
  <c r="H122" i="1" s="1"/>
  <c r="E13" i="4" l="1"/>
  <c r="N87" i="1"/>
  <c r="E45" i="4" s="1"/>
  <c r="I122" i="1"/>
  <c r="E14" i="4" s="1"/>
  <c r="O87" i="1"/>
  <c r="E46" i="4" s="1"/>
  <c r="I86" i="1"/>
  <c r="H86" i="1"/>
  <c r="G86" i="1"/>
  <c r="F122" i="1" l="1"/>
  <c r="E15" i="4"/>
  <c r="E2" i="4"/>
  <c r="E47" i="4"/>
  <c r="E34" i="4"/>
  <c r="F86" i="1"/>
  <c r="G101" i="1"/>
  <c r="H101" i="1"/>
  <c r="I101" i="1"/>
  <c r="I96" i="1" l="1"/>
  <c r="H96" i="1"/>
  <c r="G96" i="1"/>
  <c r="G102" i="1" s="1"/>
  <c r="B60" i="4" s="1"/>
  <c r="C60" i="4" l="1"/>
  <c r="F63" i="1"/>
  <c r="I64" i="1"/>
  <c r="H64" i="1"/>
  <c r="G64" i="1"/>
  <c r="G58" i="1" l="1"/>
  <c r="H81" i="1" l="1"/>
  <c r="F78" i="1" l="1"/>
  <c r="F80" i="1"/>
  <c r="F79" i="1"/>
  <c r="F81" i="1" l="1"/>
  <c r="F57" i="1" l="1"/>
  <c r="G17" i="5" l="1"/>
  <c r="H17" i="5"/>
  <c r="H16" i="5"/>
  <c r="G16" i="5"/>
  <c r="F18" i="5"/>
  <c r="G18" i="5" l="1"/>
  <c r="H18" i="5"/>
  <c r="I74" i="1"/>
  <c r="H74" i="1"/>
  <c r="G74" i="1"/>
  <c r="G87" i="1" s="1"/>
  <c r="B44" i="4" s="1"/>
  <c r="F44" i="4" s="1"/>
  <c r="F73" i="1"/>
  <c r="F71" i="1"/>
  <c r="F74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100" i="1" l="1"/>
  <c r="F101" i="1" s="1"/>
  <c r="F3" i="5"/>
  <c r="D5" i="5"/>
  <c r="D7" i="5" s="1"/>
  <c r="B4" i="5"/>
  <c r="B5" i="5" s="1"/>
  <c r="I102" i="1" l="1"/>
  <c r="B62" i="4" s="1"/>
  <c r="C62" i="4" s="1"/>
  <c r="H102" i="1"/>
  <c r="B61" i="4" s="1"/>
  <c r="E5" i="5"/>
  <c r="C61" i="4" l="1"/>
  <c r="B50" i="4"/>
  <c r="B63" i="4"/>
  <c r="G43" i="1"/>
  <c r="B28" i="4" s="1"/>
  <c r="M23" i="4"/>
  <c r="N23" i="4"/>
  <c r="L19" i="4"/>
  <c r="L23" i="4" s="1"/>
  <c r="L26" i="4" s="1"/>
  <c r="I23" i="4"/>
  <c r="J23" i="4"/>
  <c r="H23" i="4"/>
  <c r="C63" i="4" l="1"/>
  <c r="E63" i="4" s="1"/>
  <c r="C50" i="4"/>
  <c r="E50" i="4" s="1"/>
  <c r="I126" i="1"/>
  <c r="I58" i="1"/>
  <c r="I87" i="1" s="1"/>
  <c r="B46" i="4" s="1"/>
  <c r="F46" i="4" s="1"/>
  <c r="I19" i="1" l="1"/>
  <c r="H19" i="1"/>
  <c r="G19" i="1"/>
  <c r="I31" i="1" l="1"/>
  <c r="H31" i="1"/>
  <c r="G31" i="1"/>
  <c r="F30" i="1" l="1"/>
  <c r="F31" i="1" s="1"/>
  <c r="I108" i="1"/>
  <c r="H108" i="1"/>
  <c r="G108" i="1"/>
  <c r="F56" i="1" l="1"/>
  <c r="F42" i="1" l="1"/>
  <c r="F41" i="1"/>
  <c r="H126" i="1" l="1"/>
  <c r="H58" i="1"/>
  <c r="H87" i="1" s="1"/>
  <c r="F55" i="1"/>
  <c r="B45" i="4" l="1"/>
  <c r="G27" i="1"/>
  <c r="F45" i="4" l="1"/>
  <c r="B47" i="4"/>
  <c r="F47" i="4" s="1"/>
  <c r="B34" i="4"/>
  <c r="F34" i="4" s="1"/>
  <c r="F95" i="1"/>
  <c r="F96" i="1" s="1"/>
  <c r="F102" i="1" l="1"/>
  <c r="F40" i="1"/>
  <c r="F43" i="1" s="1"/>
  <c r="H43" i="1"/>
  <c r="B29" i="4" s="1"/>
  <c r="H27" i="1"/>
  <c r="I43" i="1"/>
  <c r="B30" i="4" s="1"/>
  <c r="B31" i="4" l="1"/>
  <c r="F31" i="4" s="1"/>
  <c r="F28" i="4"/>
  <c r="B18" i="4"/>
  <c r="F18" i="4" s="1"/>
  <c r="F29" i="4"/>
  <c r="F30" i="4"/>
  <c r="G17" i="4"/>
  <c r="F54" i="1"/>
  <c r="F17" i="1"/>
  <c r="F15" i="1"/>
  <c r="F16" i="1"/>
  <c r="F58" i="1" l="1"/>
  <c r="G115" i="1"/>
  <c r="G116" i="1" s="1"/>
  <c r="B12" i="4" s="1"/>
  <c r="H115" i="1"/>
  <c r="H116" i="1" s="1"/>
  <c r="B13" i="4" s="1"/>
  <c r="F12" i="4" s="1"/>
  <c r="F107" i="1"/>
  <c r="F62" i="1"/>
  <c r="F64" i="1" s="1"/>
  <c r="F87" i="1" s="1"/>
  <c r="F26" i="1"/>
  <c r="F18" i="1"/>
  <c r="F19" i="1" l="1"/>
  <c r="F108" i="1"/>
  <c r="F114" i="1"/>
  <c r="F120" i="1" s="1"/>
  <c r="F126" i="1" s="1"/>
  <c r="I115" i="1" l="1"/>
  <c r="I27" i="1"/>
  <c r="I116" i="1" s="1"/>
  <c r="B14" i="4" s="1"/>
  <c r="B15" i="4" s="1"/>
  <c r="F15" i="4" s="1"/>
  <c r="F14" i="4" l="1"/>
  <c r="F13" i="4"/>
  <c r="B2" i="4"/>
  <c r="F2" i="4" s="1"/>
  <c r="F115" i="1"/>
  <c r="F27" i="1"/>
  <c r="F116" i="1" l="1"/>
</calcChain>
</file>

<file path=xl/sharedStrings.xml><?xml version="1.0" encoding="utf-8"?>
<sst xmlns="http://schemas.openxmlformats.org/spreadsheetml/2006/main" count="414" uniqueCount="251">
  <si>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</si>
  <si>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</si>
  <si>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</si>
  <si>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</si>
  <si>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</si>
  <si>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</si>
  <si>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</si>
  <si>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</si>
  <si>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</si>
  <si>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</si>
  <si>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</si>
  <si>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</si>
  <si>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</si>
  <si>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</si>
  <si>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</si>
  <si>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</si>
  <si>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</si>
  <si>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</si>
  <si>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</si>
  <si>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</si>
  <si>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</si>
  <si>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</si>
  <si>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</si>
  <si>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</si>
  <si>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</si>
  <si>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</si>
  <si>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</si>
  <si>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</si>
  <si>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</si>
  <si>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</si>
  <si>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</si>
  <si>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</si>
  <si>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</si>
  <si>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</si>
  <si>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</si>
  <si>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</si>
  <si>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</si>
  <si>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</si>
  <si>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</si>
  <si>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</si>
  <si>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</si>
  <si>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</si>
  <si>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</si>
  <si>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</si>
  <si>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</si>
  <si>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</si>
  <si>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</si>
  <si>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</si>
  <si>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</si>
  <si>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</si>
  <si>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</si>
  <si>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</si>
  <si>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</si>
  <si>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</si>
  <si>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</si>
  <si>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</si>
  <si>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</si>
  <si>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</si>
  <si>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</si>
  <si>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</si>
  <si>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</si>
  <si>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</si>
  <si>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</si>
  <si>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</si>
  <si>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</si>
  <si>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</si>
  <si>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</si>
  <si>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</si>
  <si>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</si>
  <si>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</si>
  <si>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</si>
  <si>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</si>
  <si>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</si>
  <si>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</si>
  <si>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</si>
  <si>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</si>
  <si>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</si>
  <si>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</si>
  <si>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</si>
  <si>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</si>
  <si>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</si>
  <si>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</si>
  <si>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</si>
  <si>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</si>
  <si>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</si>
  <si>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</si>
  <si>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</si>
  <si>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</si>
  <si>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</si>
  <si>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</si>
  <si>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</si>
  <si>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</si>
  <si>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</si>
  <si>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</si>
  <si>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</si>
  <si>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</si>
  <si>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</si>
  <si>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</si>
  <si>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</si>
  <si>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</si>
  <si>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</si>
  <si>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</si>
  <si>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</si>
  <si>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</si>
  <si>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</si>
  <si>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</si>
  <si>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</si>
  <si>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</si>
  <si>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</si>
  <si>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</si>
  <si>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</si>
  <si>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</si>
  <si>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</si>
  <si>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</si>
  <si>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</si>
  <si>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</si>
  <si>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</si>
  <si>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</si>
  <si>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</si>
  <si>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</si>
  <si>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</si>
  <si>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</si>
  <si>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</si>
  <si>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</si>
  <si>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</si>
  <si>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</si>
  <si>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</si>
  <si>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</si>
  <si>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</si>
  <si>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</si>
  <si>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</si>
  <si>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</si>
  <si>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</si>
  <si>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</si>
  <si>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</si>
  <si>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</si>
  <si>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</si>
  <si>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</si>
  <si>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</si>
  <si>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</si>
  <si>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</si>
  <si>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</si>
  <si>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</si>
  <si>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</si>
  <si>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</si>
  <si>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</si>
  <si>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</si>
  <si>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</si>
  <si>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</si>
  <si>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</si>
  <si>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</si>
  <si>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</si>
  <si>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</si>
  <si>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</si>
  <si>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</si>
  <si>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</si>
  <si>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</si>
  <si>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</si>
  <si>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</si>
  <si>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</si>
  <si>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</si>
  <si>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</si>
  <si>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</si>
  <si>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</si>
  <si>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</si>
  <si>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</si>
  <si>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</si>
  <si>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</si>
  <si>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</si>
  <si>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</si>
  <si>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</si>
  <si>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</si>
  <si>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</si>
  <si>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</si>
  <si>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</si>
  <si>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</si>
  <si>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</si>
  <si>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</si>
  <si>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</si>
  <si>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</si>
  <si>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</si>
  <si>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</si>
  <si>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</si>
  <si>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</si>
  <si>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</si>
  <si>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</si>
  <si>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</si>
  <si>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</si>
  <si>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</si>
  <si>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</si>
  <si>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</si>
  <si>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</si>
  <si>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</si>
  <si>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</si>
  <si>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</si>
  <si>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</si>
  <si>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</si>
  <si>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</si>
  <si>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</si>
  <si>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</si>
  <si>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</si>
  <si>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</si>
  <si>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</si>
  <si>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</si>
  <si>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</si>
  <si>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</si>
  <si>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</si>
  <si>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</si>
  <si>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</si>
  <si>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</si>
  <si>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</si>
  <si>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</si>
  <si>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</si>
  <si>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</si>
  <si>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</si>
  <si>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</si>
  <si>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</si>
  <si>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</si>
  <si>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</si>
  <si>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</si>
  <si>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</si>
  <si>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</si>
  <si>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</si>
  <si>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</si>
  <si>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</si>
  <si>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</si>
  <si>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</si>
  <si>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</si>
  <si>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</si>
  <si>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</si>
  <si>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</si>
  <si>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</si>
  <si>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</si>
  <si>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</si>
  <si>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</si>
  <si>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</si>
  <si>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</si>
  <si>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Количество общеобразовательных организаций,  на базе которых будут созданы и функционировать центры образования естественно-научной и технологической направленностей «Точка роста»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</si>
  <si>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 и (или) курсы внеурочной деятельности общеинтеллектуальной направленности с использованием средств обучения и воспитания центра «Точка роста»</t>
  </si>
  <si>
    <t>Численность обучающихся общеобразовательной организации, осваивающих программы технической и естественнонаучной направленности с использованием средств обучения и воспитания центра «Точка роста»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</si>
  <si>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</t>
  </si>
  <si>
    <t>3.23.</t>
  </si>
  <si>
    <t>3.24.</t>
  </si>
  <si>
    <t>3.25.</t>
  </si>
  <si>
    <t>3.26.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</si>
  <si>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</si>
  <si>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310+
S018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</si>
  <si>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физической культуры и спорта</t>
  </si>
  <si>
    <t>2. Подпрограмма  1 муниципальной программы: «Развитие дошкольного образования»</t>
  </si>
  <si>
    <t>27,2 сняли на МП безопасность</t>
  </si>
  <si>
    <t xml:space="preserve">Приложение к  постановлению Администрации муниципального образования "город Десногорск"            Смоленской области  от 07.07.2021 № 6631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</si>
</sst>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6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164" fontId="2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view="pageBreakPreview" zoomScale="61" zoomScaleNormal="60" zoomScaleSheetLayoutView="61" workbookViewId="0">
      <selection activeCell="I1" sqref="I1:L1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68.400000000000006" customHeight="1" x14ac:dyDescent="0.35">
      <c r="I1" s="164" t="s">
        <v>250</v>
      </c>
      <c r="J1" s="164"/>
      <c r="K1" s="164"/>
      <c r="L1" s="164"/>
    </row>
    <row r="2" spans="1:12" ht="57" customHeight="1" x14ac:dyDescent="0.35">
      <c r="I2" s="185" t="s">
        <v>236</v>
      </c>
      <c r="J2" s="185"/>
      <c r="K2" s="185"/>
      <c r="L2" s="185"/>
    </row>
    <row r="3" spans="1:12" x14ac:dyDescent="0.35">
      <c r="I3" s="72"/>
      <c r="J3" s="72"/>
      <c r="K3" s="72"/>
    </row>
    <row r="4" spans="1:12" ht="62.1" customHeight="1" x14ac:dyDescent="0.35">
      <c r="C4" s="184" t="s">
        <v>233</v>
      </c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8.600000000000001" thickBot="1" x14ac:dyDescent="0.4"/>
    <row r="6" spans="1:12" ht="59.4" customHeight="1" x14ac:dyDescent="0.35">
      <c r="B6" s="178" t="s">
        <v>0</v>
      </c>
      <c r="C6" s="180" t="s">
        <v>1</v>
      </c>
      <c r="D6" s="182" t="s">
        <v>2</v>
      </c>
      <c r="E6" s="231" t="s">
        <v>176</v>
      </c>
      <c r="F6" s="232" t="s">
        <v>105</v>
      </c>
      <c r="G6" s="232"/>
      <c r="H6" s="232"/>
      <c r="I6" s="232"/>
      <c r="J6" s="182" t="s">
        <v>68</v>
      </c>
      <c r="K6" s="182"/>
      <c r="L6" s="233"/>
    </row>
    <row r="7" spans="1:12" ht="72.599999999999994" thickBot="1" x14ac:dyDescent="0.4">
      <c r="B7" s="179"/>
      <c r="C7" s="181"/>
      <c r="D7" s="183"/>
      <c r="E7" s="221"/>
      <c r="F7" s="62" t="s">
        <v>3</v>
      </c>
      <c r="G7" s="63" t="s">
        <v>178</v>
      </c>
      <c r="H7" s="63" t="s">
        <v>179</v>
      </c>
      <c r="I7" s="63" t="s">
        <v>180</v>
      </c>
      <c r="J7" s="126" t="s">
        <v>178</v>
      </c>
      <c r="K7" s="126" t="s">
        <v>179</v>
      </c>
      <c r="L7" s="126" t="s">
        <v>180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206" t="s">
        <v>106</v>
      </c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1:12" x14ac:dyDescent="0.35">
      <c r="B10" s="174" t="s">
        <v>4</v>
      </c>
      <c r="C10" s="175"/>
      <c r="D10" s="175"/>
      <c r="E10" s="175"/>
      <c r="F10" s="175"/>
      <c r="G10" s="175"/>
      <c r="H10" s="175"/>
      <c r="I10" s="176"/>
      <c r="J10" s="176"/>
      <c r="K10" s="175"/>
      <c r="L10" s="177"/>
    </row>
    <row r="11" spans="1:12" ht="36" x14ac:dyDescent="0.35">
      <c r="B11" s="7" t="s">
        <v>5</v>
      </c>
      <c r="C11" s="67" t="s">
        <v>54</v>
      </c>
      <c r="D11" s="220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234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234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234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234"/>
      <c r="E15" s="67" t="s">
        <v>23</v>
      </c>
      <c r="F15" s="28">
        <f>G15+H15+I15</f>
        <v>2293.6999999999998</v>
      </c>
      <c r="G15" s="28">
        <v>2293.6999999999998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235"/>
      <c r="E16" s="67" t="s">
        <v>23</v>
      </c>
      <c r="F16" s="28">
        <f>G16+H16+I16</f>
        <v>821.1</v>
      </c>
      <c r="G16" s="28">
        <v>821.1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177</v>
      </c>
      <c r="D17" s="220" t="s">
        <v>6</v>
      </c>
      <c r="E17" s="67" t="s">
        <v>23</v>
      </c>
      <c r="F17" s="28">
        <f t="shared" ref="F17:F18" si="0">G17+H17+I17</f>
        <v>4272</v>
      </c>
      <c r="G17" s="28">
        <v>4272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221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18.600000000000001" thickBot="1" x14ac:dyDescent="0.4">
      <c r="B19" s="152" t="s">
        <v>17</v>
      </c>
      <c r="C19" s="153"/>
      <c r="D19" s="11"/>
      <c r="E19" s="29" t="s">
        <v>23</v>
      </c>
      <c r="F19" s="31">
        <f>SUM(F15:F18)</f>
        <v>8682.1999999999989</v>
      </c>
      <c r="G19" s="32">
        <f t="shared" ref="G19:I19" si="1">SUM(G15:G18)</f>
        <v>8682.1999999999989</v>
      </c>
      <c r="H19" s="32">
        <f t="shared" si="1"/>
        <v>0</v>
      </c>
      <c r="I19" s="33">
        <f t="shared" si="1"/>
        <v>0</v>
      </c>
      <c r="J19" s="43"/>
      <c r="K19" s="44"/>
      <c r="L19" s="45"/>
    </row>
    <row r="20" spans="1:12" x14ac:dyDescent="0.35">
      <c r="B20" s="209" t="s">
        <v>224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2"/>
    </row>
    <row r="21" spans="1:12" ht="55.2" customHeight="1" x14ac:dyDescent="0.35">
      <c r="B21" s="7" t="s">
        <v>225</v>
      </c>
      <c r="C21" s="110" t="s">
        <v>226</v>
      </c>
      <c r="D21" s="220" t="s">
        <v>6</v>
      </c>
      <c r="E21" s="110" t="s">
        <v>22</v>
      </c>
      <c r="F21" s="3"/>
      <c r="G21" s="3"/>
      <c r="H21" s="3"/>
      <c r="I21" s="135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227</v>
      </c>
      <c r="B22" s="7" t="s">
        <v>228</v>
      </c>
      <c r="C22" s="110" t="s">
        <v>229</v>
      </c>
      <c r="D22" s="221"/>
      <c r="E22" s="110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18.600000000000001" thickBot="1" x14ac:dyDescent="0.4">
      <c r="B23" s="152" t="s">
        <v>230</v>
      </c>
      <c r="C23" s="153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168" t="s">
        <v>231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70"/>
    </row>
    <row r="25" spans="1:12" ht="36" x14ac:dyDescent="0.35">
      <c r="B25" s="7" t="s">
        <v>18</v>
      </c>
      <c r="C25" s="67" t="s">
        <v>20</v>
      </c>
      <c r="D25" s="220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221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18.600000000000001" thickBot="1" x14ac:dyDescent="0.4">
      <c r="B27" s="160" t="s">
        <v>21</v>
      </c>
      <c r="C27" s="161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213" t="s">
        <v>234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5"/>
    </row>
    <row r="29" spans="1:12" ht="54" x14ac:dyDescent="0.35">
      <c r="B29" s="24" t="s">
        <v>108</v>
      </c>
      <c r="C29" s="24" t="s">
        <v>114</v>
      </c>
      <c r="D29" s="220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197</v>
      </c>
      <c r="B30" s="80" t="s">
        <v>115</v>
      </c>
      <c r="C30" s="132" t="s">
        <v>204</v>
      </c>
      <c r="D30" s="221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52" t="s">
        <v>232</v>
      </c>
      <c r="C31" s="153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171" t="s">
        <v>248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3"/>
    </row>
    <row r="33" spans="1:14" x14ac:dyDescent="0.35">
      <c r="B33" s="165" t="s">
        <v>24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7"/>
    </row>
    <row r="34" spans="1:14" x14ac:dyDescent="0.35">
      <c r="B34" s="165" t="s">
        <v>55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7"/>
    </row>
    <row r="35" spans="1:14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4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4" ht="54" x14ac:dyDescent="0.35">
      <c r="B37" s="7" t="s">
        <v>28</v>
      </c>
      <c r="C37" s="24" t="s">
        <v>116</v>
      </c>
      <c r="D37" s="110" t="s">
        <v>22</v>
      </c>
      <c r="E37" s="110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4" ht="54" x14ac:dyDescent="0.35">
      <c r="B38" s="7" t="s">
        <v>29</v>
      </c>
      <c r="C38" s="24" t="s">
        <v>182</v>
      </c>
      <c r="D38" s="110" t="s">
        <v>22</v>
      </c>
      <c r="E38" s="110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4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4" ht="39.6" customHeight="1" x14ac:dyDescent="0.35">
      <c r="A40" s="1" t="s">
        <v>162</v>
      </c>
      <c r="B40" s="79" t="s">
        <v>102</v>
      </c>
      <c r="C40" s="67" t="s">
        <v>80</v>
      </c>
      <c r="D40" s="203" t="s">
        <v>109</v>
      </c>
      <c r="E40" s="67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40"/>
    </row>
    <row r="41" spans="1:14" ht="53.4" customHeight="1" x14ac:dyDescent="0.35">
      <c r="A41" s="70" t="s">
        <v>199</v>
      </c>
      <c r="B41" s="38" t="s">
        <v>113</v>
      </c>
      <c r="C41" s="76" t="s">
        <v>69</v>
      </c>
      <c r="D41" s="204"/>
      <c r="E41" s="76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4" ht="40.200000000000003" customHeight="1" thickBot="1" x14ac:dyDescent="0.4">
      <c r="A42" s="138" t="s">
        <v>246</v>
      </c>
      <c r="B42" s="131" t="s">
        <v>192</v>
      </c>
      <c r="C42" s="130" t="s">
        <v>122</v>
      </c>
      <c r="D42" s="204"/>
      <c r="E42" s="77" t="s">
        <v>31</v>
      </c>
      <c r="F42" s="30">
        <f t="shared" ref="F42" si="5">G42+H42+I42</f>
        <v>376.8</v>
      </c>
      <c r="G42" s="30">
        <f>90.5+286.3</f>
        <v>376.8</v>
      </c>
      <c r="H42" s="30"/>
      <c r="I42" s="30"/>
      <c r="J42" s="41"/>
      <c r="K42" s="41"/>
      <c r="L42" s="42"/>
      <c r="N42" s="70">
        <f>G40+G42</f>
        <v>76926.7</v>
      </c>
    </row>
    <row r="43" spans="1:14" ht="35.4" thickBot="1" x14ac:dyDescent="0.4">
      <c r="B43" s="152" t="s">
        <v>32</v>
      </c>
      <c r="C43" s="153"/>
      <c r="D43" s="8"/>
      <c r="E43" s="64" t="s">
        <v>33</v>
      </c>
      <c r="F43" s="58">
        <f>SUM(F40:F42)</f>
        <v>484206.89999999997</v>
      </c>
      <c r="G43" s="32">
        <f>SUM(G40:G42)</f>
        <v>158534.5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4" s="134" customFormat="1" ht="20.399999999999999" customHeight="1" x14ac:dyDescent="0.3">
      <c r="B44" s="209" t="s">
        <v>34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2"/>
    </row>
    <row r="45" spans="1:14" s="134" customFormat="1" ht="20.399999999999999" customHeight="1" x14ac:dyDescent="0.3">
      <c r="B45" s="222" t="s">
        <v>82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4"/>
    </row>
    <row r="46" spans="1:14" ht="20.399999999999999" customHeight="1" x14ac:dyDescent="0.35">
      <c r="B46" s="165" t="s">
        <v>70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spans="1:14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4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5" ht="72" x14ac:dyDescent="0.35">
      <c r="B49" s="25" t="s">
        <v>53</v>
      </c>
      <c r="C49" s="67" t="s">
        <v>183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5" ht="72" x14ac:dyDescent="0.35">
      <c r="B50" s="25" t="s">
        <v>184</v>
      </c>
      <c r="C50" s="110" t="s">
        <v>183</v>
      </c>
      <c r="D50" s="110" t="s">
        <v>22</v>
      </c>
      <c r="E50" s="110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5" x14ac:dyDescent="0.35">
      <c r="B51" s="25" t="s">
        <v>185</v>
      </c>
      <c r="C51" s="110" t="s">
        <v>186</v>
      </c>
      <c r="D51" s="110" t="s">
        <v>22</v>
      </c>
      <c r="E51" s="110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5" ht="72" x14ac:dyDescent="0.35">
      <c r="B52" s="25" t="s">
        <v>187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5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</row>
    <row r="54" spans="1:15" ht="40.950000000000003" customHeight="1" x14ac:dyDescent="0.35">
      <c r="A54" s="1" t="s">
        <v>162</v>
      </c>
      <c r="B54" s="25" t="s">
        <v>103</v>
      </c>
      <c r="C54" s="67" t="s">
        <v>80</v>
      </c>
      <c r="D54" s="203" t="s">
        <v>38</v>
      </c>
      <c r="E54" s="67" t="s">
        <v>25</v>
      </c>
      <c r="F54" s="30">
        <f>G54+H54+I54</f>
        <v>47726.6</v>
      </c>
      <c r="G54" s="30">
        <f>15950.2-G71</f>
        <v>15948.400000000001</v>
      </c>
      <c r="H54" s="30">
        <f>16096.2-H85-H71-H80-27.2</f>
        <v>15876.099999999999</v>
      </c>
      <c r="I54" s="30">
        <f>16096.2-I85-I80</f>
        <v>15902.1</v>
      </c>
      <c r="J54" s="10"/>
      <c r="K54" s="10"/>
      <c r="L54" s="46"/>
      <c r="M54" s="1" t="s">
        <v>249</v>
      </c>
    </row>
    <row r="55" spans="1:15" ht="75.900000000000006" customHeight="1" x14ac:dyDescent="0.35">
      <c r="A55" s="70" t="s">
        <v>163</v>
      </c>
      <c r="B55" s="38" t="s">
        <v>104</v>
      </c>
      <c r="C55" s="75" t="s">
        <v>71</v>
      </c>
      <c r="D55" s="204"/>
      <c r="E55" s="75" t="s">
        <v>23</v>
      </c>
      <c r="F55" s="30">
        <f>G55+H55+I55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/>
      <c r="O55" s="70"/>
    </row>
    <row r="56" spans="1:15" ht="78.599999999999994" customHeight="1" x14ac:dyDescent="0.35">
      <c r="A56" s="1" t="s">
        <v>198</v>
      </c>
      <c r="B56" s="38" t="s">
        <v>111</v>
      </c>
      <c r="C56" s="78" t="s">
        <v>112</v>
      </c>
      <c r="D56" s="204"/>
      <c r="E56" s="78" t="s">
        <v>23</v>
      </c>
      <c r="F56" s="30">
        <f>G56+H56+I56</f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5" s="82" customFormat="1" ht="37.5" customHeight="1" thickBot="1" x14ac:dyDescent="0.4">
      <c r="A57" s="82">
        <v>310</v>
      </c>
      <c r="B57" s="109" t="s">
        <v>193</v>
      </c>
      <c r="C57" s="108" t="s">
        <v>122</v>
      </c>
      <c r="D57" s="204"/>
      <c r="E57" s="24" t="s">
        <v>25</v>
      </c>
      <c r="F57" s="83">
        <f t="shared" ref="F57" si="6">G57+H57+I57</f>
        <v>0</v>
      </c>
      <c r="G57" s="83"/>
      <c r="H57" s="83"/>
      <c r="I57" s="83"/>
      <c r="J57" s="84"/>
      <c r="K57" s="84"/>
      <c r="L57" s="85"/>
    </row>
    <row r="58" spans="1:15" ht="35.4" thickBot="1" x14ac:dyDescent="0.4">
      <c r="B58" s="152" t="s">
        <v>37</v>
      </c>
      <c r="C58" s="153"/>
      <c r="D58" s="13"/>
      <c r="E58" s="34" t="s">
        <v>33</v>
      </c>
      <c r="F58" s="32">
        <f>SUM(F54:F57)</f>
        <v>429301</v>
      </c>
      <c r="G58" s="32">
        <f>SUM(G54:G57)</f>
        <v>136363.4</v>
      </c>
      <c r="H58" s="32">
        <f>SUM(H54:H57)</f>
        <v>142625.9</v>
      </c>
      <c r="I58" s="53">
        <f>SUM(I54:I57)</f>
        <v>150311.70000000001</v>
      </c>
      <c r="J58" s="8"/>
      <c r="K58" s="8"/>
      <c r="L58" s="47"/>
      <c r="N58" s="70"/>
      <c r="O58" s="70"/>
    </row>
    <row r="59" spans="1:15" ht="25.95" customHeight="1" x14ac:dyDescent="0.35">
      <c r="B59" s="209" t="s">
        <v>189</v>
      </c>
      <c r="C59" s="210"/>
      <c r="D59" s="210"/>
      <c r="E59" s="210"/>
      <c r="F59" s="210"/>
      <c r="G59" s="210"/>
      <c r="H59" s="210"/>
      <c r="I59" s="210"/>
      <c r="J59" s="211"/>
      <c r="K59" s="210"/>
      <c r="L59" s="212"/>
    </row>
    <row r="60" spans="1:15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5" ht="60" customHeight="1" x14ac:dyDescent="0.35">
      <c r="B61" s="7" t="s">
        <v>117</v>
      </c>
      <c r="C61" s="121" t="s">
        <v>172</v>
      </c>
      <c r="D61" s="10"/>
      <c r="E61" s="124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5" ht="36" customHeight="1" x14ac:dyDescent="0.35">
      <c r="B62" s="7" t="s">
        <v>118</v>
      </c>
      <c r="C62" s="67" t="s">
        <v>72</v>
      </c>
      <c r="D62" s="219" t="s">
        <v>40</v>
      </c>
      <c r="E62" s="123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5" ht="57" customHeight="1" thickBot="1" x14ac:dyDescent="0.4">
      <c r="B63" s="122" t="s">
        <v>137</v>
      </c>
      <c r="C63" s="121" t="s">
        <v>173</v>
      </c>
      <c r="D63" s="203"/>
      <c r="E63" s="121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45"/>
    </row>
    <row r="64" spans="1:15" ht="38.4" customHeight="1" thickBot="1" x14ac:dyDescent="0.4">
      <c r="B64" s="152" t="s">
        <v>39</v>
      </c>
      <c r="C64" s="153"/>
      <c r="D64" s="203"/>
      <c r="E64" s="125"/>
      <c r="F64" s="32">
        <f>SUM(F62:F63)</f>
        <v>34821</v>
      </c>
      <c r="G64" s="32">
        <f t="shared" ref="G64:I64" si="7">SUM(G62:G63)</f>
        <v>11607</v>
      </c>
      <c r="H64" s="32">
        <f t="shared" si="7"/>
        <v>11607</v>
      </c>
      <c r="I64" s="32">
        <f t="shared" si="7"/>
        <v>11607</v>
      </c>
      <c r="J64" s="8"/>
      <c r="K64" s="8"/>
      <c r="L64" s="47"/>
    </row>
    <row r="65" spans="2:13" ht="23.4" customHeight="1" thickBot="1" x14ac:dyDescent="0.4">
      <c r="B65" s="191" t="s">
        <v>165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6"/>
      <c r="M65" s="70"/>
    </row>
    <row r="66" spans="2:13" ht="55.2" customHeight="1" x14ac:dyDescent="0.35">
      <c r="B66" s="139" t="s">
        <v>157</v>
      </c>
      <c r="C66" s="139" t="s">
        <v>188</v>
      </c>
      <c r="D66" s="204" t="s">
        <v>40</v>
      </c>
      <c r="E66" s="141"/>
      <c r="F66" s="149"/>
      <c r="G66" s="149"/>
      <c r="H66" s="149"/>
      <c r="I66" s="149"/>
      <c r="J66" s="150">
        <v>100</v>
      </c>
      <c r="K66" s="150">
        <v>100</v>
      </c>
      <c r="L66" s="150">
        <v>100</v>
      </c>
      <c r="M66" s="70"/>
    </row>
    <row r="67" spans="2:13" ht="72" x14ac:dyDescent="0.35">
      <c r="B67" s="110" t="s">
        <v>158</v>
      </c>
      <c r="C67" s="140" t="s">
        <v>237</v>
      </c>
      <c r="D67" s="204"/>
      <c r="E67" s="110"/>
      <c r="F67" s="136"/>
      <c r="G67" s="136"/>
      <c r="H67" s="136"/>
      <c r="I67" s="136"/>
      <c r="J67" s="137">
        <v>1</v>
      </c>
      <c r="K67" s="137">
        <v>1</v>
      </c>
      <c r="L67" s="137">
        <v>0</v>
      </c>
      <c r="M67" s="70"/>
    </row>
    <row r="68" spans="2:13" ht="144" x14ac:dyDescent="0.35">
      <c r="B68" s="110" t="s">
        <v>167</v>
      </c>
      <c r="C68" s="140" t="s">
        <v>238</v>
      </c>
      <c r="D68" s="204"/>
      <c r="E68" s="110"/>
      <c r="F68" s="136"/>
      <c r="G68" s="136"/>
      <c r="H68" s="136"/>
      <c r="I68" s="136"/>
      <c r="J68" s="137">
        <v>722</v>
      </c>
      <c r="K68" s="137">
        <v>661</v>
      </c>
      <c r="L68" s="137">
        <v>1383</v>
      </c>
      <c r="M68" s="70"/>
    </row>
    <row r="69" spans="2:13" ht="72" x14ac:dyDescent="0.35">
      <c r="B69" s="110" t="s">
        <v>194</v>
      </c>
      <c r="C69" s="140" t="s">
        <v>239</v>
      </c>
      <c r="D69" s="204"/>
      <c r="E69" s="110"/>
      <c r="F69" s="136"/>
      <c r="G69" s="136"/>
      <c r="H69" s="136"/>
      <c r="I69" s="136"/>
      <c r="J69" s="137">
        <v>60</v>
      </c>
      <c r="K69" s="137">
        <v>120</v>
      </c>
      <c r="L69" s="137">
        <v>120</v>
      </c>
      <c r="M69" s="70"/>
    </row>
    <row r="70" spans="2:13" ht="55.2" customHeight="1" x14ac:dyDescent="0.35">
      <c r="B70" s="110" t="s">
        <v>168</v>
      </c>
      <c r="C70" s="140" t="s">
        <v>240</v>
      </c>
      <c r="D70" s="204"/>
      <c r="E70" s="110"/>
      <c r="F70" s="136"/>
      <c r="G70" s="136"/>
      <c r="H70" s="136"/>
      <c r="I70" s="136"/>
      <c r="J70" s="137">
        <v>100</v>
      </c>
      <c r="K70" s="137">
        <v>100</v>
      </c>
      <c r="L70" s="137">
        <v>100</v>
      </c>
      <c r="M70" s="70"/>
    </row>
    <row r="71" spans="2:13" s="82" customFormat="1" ht="22.2" customHeight="1" x14ac:dyDescent="0.35">
      <c r="B71" s="228" t="s">
        <v>169</v>
      </c>
      <c r="C71" s="157" t="s">
        <v>245</v>
      </c>
      <c r="D71" s="204"/>
      <c r="E71" s="24" t="s">
        <v>25</v>
      </c>
      <c r="F71" s="83">
        <f t="shared" ref="F71:F73" si="8">G71+H71+I71</f>
        <v>3.4000000000000004</v>
      </c>
      <c r="G71" s="83">
        <v>1.8</v>
      </c>
      <c r="H71" s="83">
        <v>1.6</v>
      </c>
      <c r="I71" s="83"/>
      <c r="J71" s="84"/>
      <c r="K71" s="84"/>
      <c r="L71" s="84"/>
    </row>
    <row r="72" spans="2:13" s="82" customFormat="1" ht="22.2" customHeight="1" x14ac:dyDescent="0.35">
      <c r="B72" s="229"/>
      <c r="C72" s="159"/>
      <c r="D72" s="204"/>
      <c r="E72" s="142" t="s">
        <v>119</v>
      </c>
      <c r="F72" s="83">
        <f t="shared" si="8"/>
        <v>3236.1</v>
      </c>
      <c r="G72" s="83">
        <v>1714.5</v>
      </c>
      <c r="H72" s="83">
        <v>1521.6</v>
      </c>
      <c r="I72" s="83"/>
      <c r="J72" s="84"/>
      <c r="K72" s="84"/>
      <c r="L72" s="84"/>
    </row>
    <row r="73" spans="2:13" s="82" customFormat="1" ht="22.2" customHeight="1" thickBot="1" x14ac:dyDescent="0.4">
      <c r="B73" s="230"/>
      <c r="C73" s="158"/>
      <c r="D73" s="227"/>
      <c r="E73" s="146" t="s">
        <v>23</v>
      </c>
      <c r="F73" s="147">
        <f t="shared" si="8"/>
        <v>100.1</v>
      </c>
      <c r="G73" s="147">
        <v>53</v>
      </c>
      <c r="H73" s="147">
        <v>47.1</v>
      </c>
      <c r="I73" s="147"/>
      <c r="J73" s="148"/>
      <c r="K73" s="148"/>
      <c r="L73" s="148"/>
    </row>
    <row r="74" spans="2:13" ht="35.1" customHeight="1" thickBot="1" x14ac:dyDescent="0.4">
      <c r="B74" s="152" t="s">
        <v>159</v>
      </c>
      <c r="C74" s="153"/>
      <c r="D74" s="105"/>
      <c r="E74" s="34" t="s">
        <v>33</v>
      </c>
      <c r="F74" s="32">
        <f>SUM(F71:F73)</f>
        <v>3339.6</v>
      </c>
      <c r="G74" s="32">
        <f t="shared" ref="G74:I74" si="9">SUM(G71:G73)</f>
        <v>1769.3</v>
      </c>
      <c r="H74" s="32">
        <f t="shared" si="9"/>
        <v>1570.2999999999997</v>
      </c>
      <c r="I74" s="32">
        <f t="shared" si="9"/>
        <v>0</v>
      </c>
      <c r="J74" s="8"/>
      <c r="K74" s="8"/>
      <c r="L74" s="47"/>
      <c r="M74" s="70"/>
    </row>
    <row r="75" spans="2:13" s="82" customFormat="1" ht="23.4" customHeight="1" x14ac:dyDescent="0.35">
      <c r="B75" s="154" t="s">
        <v>170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6"/>
      <c r="M75" s="111"/>
    </row>
    <row r="76" spans="2:13" s="82" customFormat="1" ht="42" customHeight="1" x14ac:dyDescent="0.35">
      <c r="B76" s="24" t="s">
        <v>171</v>
      </c>
      <c r="C76" s="24" t="s">
        <v>235</v>
      </c>
      <c r="D76" s="24"/>
      <c r="E76" s="24"/>
      <c r="F76" s="24"/>
      <c r="G76" s="24"/>
      <c r="H76" s="24"/>
      <c r="I76" s="24"/>
      <c r="J76" s="24">
        <v>44</v>
      </c>
      <c r="K76" s="24">
        <v>44</v>
      </c>
      <c r="L76" s="24">
        <v>44</v>
      </c>
      <c r="M76" s="111"/>
    </row>
    <row r="77" spans="2:13" s="82" customFormat="1" ht="59.4" customHeight="1" x14ac:dyDescent="0.35">
      <c r="B77" s="24" t="s">
        <v>241</v>
      </c>
      <c r="C77" s="24" t="s">
        <v>174</v>
      </c>
      <c r="D77" s="112"/>
      <c r="E77" s="24"/>
      <c r="F77" s="113"/>
      <c r="G77" s="113"/>
      <c r="H77" s="113"/>
      <c r="I77" s="113"/>
      <c r="J77" s="114">
        <v>100</v>
      </c>
      <c r="K77" s="114">
        <v>100</v>
      </c>
      <c r="L77" s="114">
        <v>100</v>
      </c>
      <c r="M77" s="111"/>
    </row>
    <row r="78" spans="2:13" s="82" customFormat="1" ht="29.4" customHeight="1" x14ac:dyDescent="0.35">
      <c r="B78" s="157" t="s">
        <v>242</v>
      </c>
      <c r="C78" s="157" t="s">
        <v>164</v>
      </c>
      <c r="D78" s="162" t="s">
        <v>40</v>
      </c>
      <c r="E78" s="24" t="s">
        <v>119</v>
      </c>
      <c r="F78" s="83">
        <f t="shared" ref="F78:F80" si="10">G78+H78+I78</f>
        <v>34811.700000000004</v>
      </c>
      <c r="G78" s="83">
        <v>11267.7</v>
      </c>
      <c r="H78" s="83">
        <v>11605.1</v>
      </c>
      <c r="I78" s="83">
        <v>11938.9</v>
      </c>
      <c r="J78" s="114"/>
      <c r="K78" s="114"/>
      <c r="L78" s="114"/>
      <c r="M78" s="111"/>
    </row>
    <row r="79" spans="2:13" s="82" customFormat="1" ht="29.4" customHeight="1" x14ac:dyDescent="0.35">
      <c r="B79" s="159"/>
      <c r="C79" s="159"/>
      <c r="D79" s="163"/>
      <c r="E79" s="24" t="s">
        <v>23</v>
      </c>
      <c r="F79" s="83">
        <f t="shared" si="10"/>
        <v>5201.8</v>
      </c>
      <c r="G79" s="83">
        <v>1683.7</v>
      </c>
      <c r="H79" s="83">
        <v>1734.1</v>
      </c>
      <c r="I79" s="83">
        <v>1784</v>
      </c>
      <c r="J79" s="84"/>
      <c r="K79" s="84"/>
      <c r="L79" s="85"/>
    </row>
    <row r="80" spans="2:13" s="82" customFormat="1" ht="29.4" customHeight="1" thickBot="1" x14ac:dyDescent="0.4">
      <c r="B80" s="158"/>
      <c r="C80" s="158"/>
      <c r="D80" s="163"/>
      <c r="E80" s="108" t="s">
        <v>25</v>
      </c>
      <c r="F80" s="83">
        <f t="shared" si="10"/>
        <v>404.1</v>
      </c>
      <c r="G80" s="83">
        <v>130.80000000000001</v>
      </c>
      <c r="H80" s="83">
        <v>134.69999999999999</v>
      </c>
      <c r="I80" s="83">
        <v>138.6</v>
      </c>
      <c r="J80" s="84"/>
      <c r="K80" s="84"/>
      <c r="L80" s="85"/>
    </row>
    <row r="81" spans="2:15" s="82" customFormat="1" ht="37.950000000000003" customHeight="1" thickBot="1" x14ac:dyDescent="0.4">
      <c r="B81" s="160" t="s">
        <v>166</v>
      </c>
      <c r="C81" s="161"/>
      <c r="D81" s="115"/>
      <c r="E81" s="116" t="s">
        <v>33</v>
      </c>
      <c r="F81" s="117">
        <f>SUM(F78:F80)</f>
        <v>40417.600000000006</v>
      </c>
      <c r="G81" s="117">
        <f>SUM(G78:G80)</f>
        <v>13082.2</v>
      </c>
      <c r="H81" s="117">
        <f>SUM(H78:H80)</f>
        <v>13473.900000000001</v>
      </c>
      <c r="I81" s="117">
        <f>SUM(I78:I80)</f>
        <v>13861.5</v>
      </c>
      <c r="J81" s="118"/>
      <c r="K81" s="118"/>
      <c r="L81" s="119"/>
      <c r="M81" s="111"/>
    </row>
    <row r="82" spans="2:15" s="82" customFormat="1" ht="23.4" customHeight="1" x14ac:dyDescent="0.35">
      <c r="B82" s="154" t="s">
        <v>247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6"/>
      <c r="M82" s="111" t="s">
        <v>221</v>
      </c>
      <c r="N82" s="111" t="s">
        <v>221</v>
      </c>
      <c r="O82" s="111" t="s">
        <v>221</v>
      </c>
    </row>
    <row r="83" spans="2:15" s="82" customFormat="1" ht="55.2" customHeight="1" x14ac:dyDescent="0.35">
      <c r="B83" s="24" t="s">
        <v>243</v>
      </c>
      <c r="C83" s="24" t="s">
        <v>205</v>
      </c>
      <c r="D83" s="24"/>
      <c r="E83" s="24"/>
      <c r="F83" s="24"/>
      <c r="G83" s="24"/>
      <c r="H83" s="24"/>
      <c r="I83" s="24"/>
      <c r="J83" s="24">
        <v>0</v>
      </c>
      <c r="K83" s="24">
        <v>1</v>
      </c>
      <c r="L83" s="24">
        <v>1</v>
      </c>
      <c r="M83" s="111">
        <f>SUM(G85,G80,G71,G57,G54)</f>
        <v>16081.000000000002</v>
      </c>
      <c r="N83" s="111">
        <f>SUM(H85,H80,H71,H57,H54)</f>
        <v>16068.999999999998</v>
      </c>
      <c r="O83" s="111">
        <f>SUM(I85,I80,I71,I57,I54)</f>
        <v>16096.2</v>
      </c>
    </row>
    <row r="84" spans="2:15" s="82" customFormat="1" ht="29.4" customHeight="1" x14ac:dyDescent="0.35">
      <c r="B84" s="157" t="s">
        <v>244</v>
      </c>
      <c r="C84" s="157" t="s">
        <v>206</v>
      </c>
      <c r="D84" s="162"/>
      <c r="E84" s="24" t="s">
        <v>23</v>
      </c>
      <c r="F84" s="83">
        <f t="shared" ref="F84:F85" si="11">G84+H84+I84</f>
        <v>2128.3000000000002</v>
      </c>
      <c r="G84" s="83"/>
      <c r="H84" s="83">
        <v>1074.7</v>
      </c>
      <c r="I84" s="83">
        <v>1053.5999999999999</v>
      </c>
      <c r="J84" s="114"/>
      <c r="K84" s="114"/>
      <c r="L84" s="114"/>
      <c r="M84" s="82" t="s">
        <v>222</v>
      </c>
      <c r="N84" s="82" t="s">
        <v>222</v>
      </c>
      <c r="O84" s="82" t="s">
        <v>222</v>
      </c>
    </row>
    <row r="85" spans="2:15" s="82" customFormat="1" ht="29.4" customHeight="1" thickBot="1" x14ac:dyDescent="0.4">
      <c r="B85" s="158"/>
      <c r="C85" s="159"/>
      <c r="D85" s="163"/>
      <c r="E85" s="24" t="s">
        <v>25</v>
      </c>
      <c r="F85" s="83">
        <f t="shared" si="11"/>
        <v>112.1</v>
      </c>
      <c r="G85" s="83"/>
      <c r="H85" s="83">
        <v>56.6</v>
      </c>
      <c r="I85" s="83">
        <v>55.5</v>
      </c>
      <c r="J85" s="84"/>
      <c r="K85" s="84"/>
      <c r="L85" s="85"/>
      <c r="M85" s="111">
        <f>SUM(G78,G63,G72)</f>
        <v>22825.300000000003</v>
      </c>
      <c r="N85" s="111">
        <f>SUM(H78,H63,H72)</f>
        <v>22969.8</v>
      </c>
      <c r="O85" s="111">
        <f t="shared" ref="O85" si="12">SUM(I78,I63)</f>
        <v>21782</v>
      </c>
    </row>
    <row r="86" spans="2:15" s="82" customFormat="1" ht="35.1" customHeight="1" thickBot="1" x14ac:dyDescent="0.4">
      <c r="B86" s="160" t="s">
        <v>191</v>
      </c>
      <c r="C86" s="161"/>
      <c r="D86" s="115"/>
      <c r="E86" s="116" t="s">
        <v>33</v>
      </c>
      <c r="F86" s="117">
        <f>SUM(F84:F85)</f>
        <v>2240.4</v>
      </c>
      <c r="G86" s="117">
        <f>SUM(G84:G85)</f>
        <v>0</v>
      </c>
      <c r="H86" s="117">
        <f>SUM(H84:H85)</f>
        <v>1131.3</v>
      </c>
      <c r="I86" s="117">
        <f>SUM(I84:I85)</f>
        <v>1109.0999999999999</v>
      </c>
      <c r="J86" s="118"/>
      <c r="K86" s="118"/>
      <c r="L86" s="119"/>
      <c r="M86" s="82" t="s">
        <v>223</v>
      </c>
      <c r="N86" s="82" t="s">
        <v>223</v>
      </c>
      <c r="O86" s="82" t="s">
        <v>223</v>
      </c>
    </row>
    <row r="87" spans="2:15" ht="35.4" thickBot="1" x14ac:dyDescent="0.4">
      <c r="B87" s="186" t="s">
        <v>79</v>
      </c>
      <c r="C87" s="187"/>
      <c r="D87" s="18"/>
      <c r="E87" s="106" t="s">
        <v>33</v>
      </c>
      <c r="F87" s="107">
        <f>SUM(F74,F64,F58,F81,F86)</f>
        <v>510119.6</v>
      </c>
      <c r="G87" s="107">
        <f>SUM(G74,G64,G58,G81,G86)</f>
        <v>162821.9</v>
      </c>
      <c r="H87" s="107">
        <f>SUM(H74,H64,H58,H81,H86)</f>
        <v>170408.39999999997</v>
      </c>
      <c r="I87" s="107">
        <f t="shared" ref="I87" si="13">SUM(I74,I64,I58,I81,I86)</f>
        <v>176889.30000000002</v>
      </c>
      <c r="J87" s="18"/>
      <c r="K87" s="18"/>
      <c r="L87" s="50"/>
      <c r="M87" s="70">
        <f>SUM(G84,G79,G73,G62,G56,G55)</f>
        <v>123915.6</v>
      </c>
      <c r="N87" s="70">
        <f t="shared" ref="N87:O87" si="14">SUM(H84,H79,H73,H62,H56,H55)</f>
        <v>131369.60000000001</v>
      </c>
      <c r="O87" s="70">
        <f t="shared" si="14"/>
        <v>139011.1</v>
      </c>
    </row>
    <row r="88" spans="2:15" x14ac:dyDescent="0.35">
      <c r="B88" s="209" t="s">
        <v>181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2"/>
    </row>
    <row r="89" spans="2:15" x14ac:dyDescent="0.35">
      <c r="B89" s="216" t="s">
        <v>58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8"/>
    </row>
    <row r="90" spans="2:15" x14ac:dyDescent="0.35">
      <c r="B90" s="165" t="s">
        <v>73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7"/>
    </row>
    <row r="91" spans="2:15" ht="54" x14ac:dyDescent="0.35">
      <c r="B91" s="110" t="s">
        <v>41</v>
      </c>
      <c r="C91" s="110" t="s">
        <v>42</v>
      </c>
      <c r="D91" s="110" t="s">
        <v>22</v>
      </c>
      <c r="E91" s="110" t="s">
        <v>22</v>
      </c>
      <c r="F91" s="110"/>
      <c r="G91" s="110"/>
      <c r="H91" s="110"/>
      <c r="I91" s="127"/>
      <c r="J91" s="140">
        <v>70</v>
      </c>
      <c r="K91" s="110">
        <v>71</v>
      </c>
      <c r="L91" s="110">
        <v>72</v>
      </c>
    </row>
    <row r="92" spans="2:15" x14ac:dyDescent="0.35">
      <c r="B92" s="110" t="s">
        <v>43</v>
      </c>
      <c r="C92" s="110" t="s">
        <v>190</v>
      </c>
      <c r="D92" s="110" t="s">
        <v>22</v>
      </c>
      <c r="E92" s="110" t="s">
        <v>22</v>
      </c>
      <c r="F92" s="110"/>
      <c r="G92" s="110"/>
      <c r="H92" s="110"/>
      <c r="I92" s="127"/>
      <c r="J92" s="140">
        <v>807</v>
      </c>
      <c r="K92" s="110">
        <v>807</v>
      </c>
      <c r="L92" s="110">
        <v>807</v>
      </c>
    </row>
    <row r="93" spans="2:15" ht="36" x14ac:dyDescent="0.35">
      <c r="B93" s="4" t="s">
        <v>219</v>
      </c>
      <c r="C93" s="110" t="s">
        <v>201</v>
      </c>
      <c r="D93" s="110" t="s">
        <v>22</v>
      </c>
      <c r="E93" s="110" t="s">
        <v>22</v>
      </c>
      <c r="F93" s="110"/>
      <c r="G93" s="110"/>
      <c r="H93" s="110"/>
      <c r="I93" s="127"/>
      <c r="J93" s="140">
        <v>365</v>
      </c>
      <c r="K93" s="140">
        <v>370</v>
      </c>
      <c r="L93" s="140">
        <v>375</v>
      </c>
    </row>
    <row r="94" spans="2:15" x14ac:dyDescent="0.35">
      <c r="B94" s="4" t="s">
        <v>200</v>
      </c>
      <c r="C94" s="110" t="s">
        <v>202</v>
      </c>
      <c r="D94" s="110"/>
      <c r="E94" s="110"/>
      <c r="F94" s="110"/>
      <c r="G94" s="110"/>
      <c r="H94" s="110"/>
      <c r="I94" s="127"/>
      <c r="J94" s="140">
        <v>306</v>
      </c>
      <c r="K94" s="140">
        <v>306</v>
      </c>
      <c r="L94" s="140">
        <v>306</v>
      </c>
    </row>
    <row r="95" spans="2:15" ht="111.6" customHeight="1" thickBot="1" x14ac:dyDescent="0.4">
      <c r="B95" s="143" t="s">
        <v>138</v>
      </c>
      <c r="C95" s="144" t="s">
        <v>80</v>
      </c>
      <c r="D95" s="151" t="s">
        <v>195</v>
      </c>
      <c r="E95" s="144" t="s">
        <v>25</v>
      </c>
      <c r="F95" s="51">
        <f>G95+H95+I95</f>
        <v>77543.899999999994</v>
      </c>
      <c r="G95" s="51">
        <v>20549.099999999999</v>
      </c>
      <c r="H95" s="51">
        <v>26997.4</v>
      </c>
      <c r="I95" s="51">
        <v>29997.4</v>
      </c>
      <c r="J95" s="143"/>
      <c r="K95" s="143"/>
      <c r="L95" s="143"/>
    </row>
    <row r="96" spans="2:15" ht="38.4" customHeight="1" thickBot="1" x14ac:dyDescent="0.4">
      <c r="B96" s="152" t="s">
        <v>136</v>
      </c>
      <c r="C96" s="153"/>
      <c r="D96" s="8"/>
      <c r="E96" s="34" t="s">
        <v>33</v>
      </c>
      <c r="F96" s="32">
        <f>SUM(F95:F95)</f>
        <v>77543.899999999994</v>
      </c>
      <c r="G96" s="32">
        <f>SUM(G95:G95)</f>
        <v>20549.099999999999</v>
      </c>
      <c r="H96" s="32">
        <f>SUM(H95:H95)</f>
        <v>26997.4</v>
      </c>
      <c r="I96" s="32">
        <f>SUM(I95:I95)</f>
        <v>29997.4</v>
      </c>
      <c r="J96" s="8"/>
      <c r="K96" s="8"/>
      <c r="L96" s="47"/>
    </row>
    <row r="97" spans="2:19" ht="55.5" customHeight="1" x14ac:dyDescent="0.35">
      <c r="B97" s="206" t="s">
        <v>140</v>
      </c>
      <c r="C97" s="207"/>
      <c r="D97" s="207"/>
      <c r="E97" s="207"/>
      <c r="F97" s="207"/>
      <c r="G97" s="207"/>
      <c r="H97" s="207"/>
      <c r="I97" s="207"/>
      <c r="J97" s="207"/>
      <c r="K97" s="207"/>
      <c r="L97" s="208"/>
    </row>
    <row r="98" spans="2:19" x14ac:dyDescent="0.35">
      <c r="B98" s="165" t="s">
        <v>141</v>
      </c>
      <c r="C98" s="166"/>
      <c r="D98" s="166"/>
      <c r="E98" s="166"/>
      <c r="F98" s="166"/>
      <c r="G98" s="166"/>
      <c r="H98" s="166"/>
      <c r="I98" s="166"/>
      <c r="J98" s="205"/>
      <c r="K98" s="166"/>
      <c r="L98" s="167"/>
    </row>
    <row r="99" spans="2:19" ht="46.2" customHeight="1" x14ac:dyDescent="0.35">
      <c r="B99" s="4" t="s">
        <v>148</v>
      </c>
      <c r="C99" s="95" t="s">
        <v>142</v>
      </c>
      <c r="D99" s="203" t="s">
        <v>196</v>
      </c>
      <c r="E99" s="96"/>
      <c r="F99" s="97"/>
      <c r="G99" s="97"/>
      <c r="H99" s="97"/>
      <c r="I99" s="98"/>
      <c r="J99" s="4">
        <v>18.7</v>
      </c>
      <c r="K99" s="73">
        <v>30</v>
      </c>
      <c r="L99" s="74">
        <v>30</v>
      </c>
    </row>
    <row r="100" spans="2:19" ht="63.6" customHeight="1" thickBot="1" x14ac:dyDescent="0.4">
      <c r="B100" s="4" t="s">
        <v>203</v>
      </c>
      <c r="C100" s="95" t="s">
        <v>143</v>
      </c>
      <c r="D100" s="204"/>
      <c r="E100" s="129" t="s">
        <v>25</v>
      </c>
      <c r="F100" s="28">
        <f>G100</f>
        <v>9448.2999999999993</v>
      </c>
      <c r="G100" s="28">
        <f>9448.3</f>
        <v>9448.2999999999993</v>
      </c>
      <c r="H100" s="28"/>
      <c r="I100" s="28"/>
      <c r="J100" s="4"/>
      <c r="K100" s="4"/>
      <c r="L100" s="4"/>
    </row>
    <row r="101" spans="2:19" ht="38.4" customHeight="1" thickBot="1" x14ac:dyDescent="0.4">
      <c r="B101" s="191" t="s">
        <v>139</v>
      </c>
      <c r="C101" s="192"/>
      <c r="D101" s="8"/>
      <c r="E101" s="34" t="s">
        <v>25</v>
      </c>
      <c r="F101" s="32">
        <f>SUM(F100:F100)</f>
        <v>9448.2999999999993</v>
      </c>
      <c r="G101" s="32">
        <f>SUM(G100:G100)</f>
        <v>9448.2999999999993</v>
      </c>
      <c r="H101" s="32">
        <f>SUM(H100:H100)</f>
        <v>0</v>
      </c>
      <c r="I101" s="32">
        <f>SUM(I100:I100)</f>
        <v>0</v>
      </c>
      <c r="J101" s="8"/>
      <c r="K101" s="8"/>
      <c r="L101" s="47"/>
    </row>
    <row r="102" spans="2:19" ht="18.600000000000001" thickBot="1" x14ac:dyDescent="0.4">
      <c r="B102" s="152" t="s">
        <v>44</v>
      </c>
      <c r="C102" s="153"/>
      <c r="D102" s="14"/>
      <c r="E102" s="34" t="s">
        <v>25</v>
      </c>
      <c r="F102" s="32">
        <f>SUM(F101,F96)</f>
        <v>86992.2</v>
      </c>
      <c r="G102" s="32">
        <f>SUM(G101,G96)</f>
        <v>29997.399999999998</v>
      </c>
      <c r="H102" s="32">
        <f>SUM(H101,H96)</f>
        <v>26997.4</v>
      </c>
      <c r="I102" s="32">
        <f>SUM(I101,I96)</f>
        <v>29997.4</v>
      </c>
      <c r="J102" s="8"/>
      <c r="K102" s="8"/>
      <c r="L102" s="47"/>
      <c r="M102" s="70"/>
    </row>
    <row r="103" spans="2:19" ht="22.2" customHeight="1" x14ac:dyDescent="0.35">
      <c r="B103" s="193" t="s">
        <v>45</v>
      </c>
      <c r="C103" s="194"/>
      <c r="D103" s="194"/>
      <c r="E103" s="194"/>
      <c r="F103" s="194"/>
      <c r="G103" s="194"/>
      <c r="H103" s="194"/>
      <c r="I103" s="194"/>
      <c r="J103" s="194"/>
      <c r="K103" s="194"/>
      <c r="L103" s="195"/>
    </row>
    <row r="104" spans="2:19" ht="40.5" customHeight="1" x14ac:dyDescent="0.35">
      <c r="B104" s="196" t="s">
        <v>59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8"/>
    </row>
    <row r="105" spans="2:19" ht="21.6" customHeight="1" x14ac:dyDescent="0.35">
      <c r="B105" s="199" t="s">
        <v>46</v>
      </c>
      <c r="C105" s="200"/>
      <c r="D105" s="200"/>
      <c r="E105" s="200"/>
      <c r="F105" s="200"/>
      <c r="G105" s="200"/>
      <c r="H105" s="200"/>
      <c r="I105" s="200"/>
      <c r="J105" s="201"/>
      <c r="K105" s="200"/>
      <c r="L105" s="202"/>
    </row>
    <row r="106" spans="2:19" ht="42" customHeight="1" x14ac:dyDescent="0.35">
      <c r="B106" s="7" t="s">
        <v>47</v>
      </c>
      <c r="C106" s="67" t="s">
        <v>64</v>
      </c>
      <c r="D106" s="67" t="s">
        <v>22</v>
      </c>
      <c r="E106" s="67" t="s">
        <v>22</v>
      </c>
      <c r="F106" s="3"/>
      <c r="G106" s="6"/>
      <c r="H106" s="6"/>
      <c r="I106" s="9"/>
      <c r="J106" s="4">
        <v>317</v>
      </c>
      <c r="K106" s="4">
        <v>317</v>
      </c>
      <c r="L106" s="40">
        <v>317</v>
      </c>
    </row>
    <row r="107" spans="2:19" ht="38.4" customHeight="1" thickBot="1" x14ac:dyDescent="0.4">
      <c r="B107" s="65" t="s">
        <v>48</v>
      </c>
      <c r="C107" s="65" t="s">
        <v>85</v>
      </c>
      <c r="D107" s="128"/>
      <c r="E107" s="65" t="s">
        <v>23</v>
      </c>
      <c r="F107" s="30">
        <f>G107+H107+I107</f>
        <v>849.7</v>
      </c>
      <c r="G107" s="30">
        <v>849.7</v>
      </c>
      <c r="H107" s="30"/>
      <c r="I107" s="30"/>
      <c r="J107" s="48"/>
      <c r="K107" s="48"/>
      <c r="L107" s="48"/>
    </row>
    <row r="108" spans="2:19" ht="18.600000000000001" thickBot="1" x14ac:dyDescent="0.4">
      <c r="B108" s="191" t="s">
        <v>84</v>
      </c>
      <c r="C108" s="192"/>
      <c r="D108" s="11"/>
      <c r="E108" s="71"/>
      <c r="F108" s="32">
        <f>SUM(F107:F107)</f>
        <v>849.7</v>
      </c>
      <c r="G108" s="32">
        <f>SUM(G107:G107)</f>
        <v>849.7</v>
      </c>
      <c r="H108" s="32">
        <f>SUM(H107:H107)</f>
        <v>0</v>
      </c>
      <c r="I108" s="53">
        <f>SUM(I107:I107)</f>
        <v>0</v>
      </c>
      <c r="J108" s="54"/>
      <c r="K108" s="55"/>
      <c r="L108" s="56"/>
      <c r="M108" s="19"/>
      <c r="N108" s="20"/>
      <c r="O108" s="21"/>
      <c r="P108" s="19"/>
      <c r="Q108" s="19"/>
      <c r="R108" s="19"/>
      <c r="S108" s="20"/>
    </row>
    <row r="109" spans="2:19" x14ac:dyDescent="0.35">
      <c r="B109" s="188" t="s">
        <v>98</v>
      </c>
      <c r="C109" s="189"/>
      <c r="D109" s="189"/>
      <c r="E109" s="189"/>
      <c r="F109" s="189"/>
      <c r="G109" s="189"/>
      <c r="H109" s="189"/>
      <c r="I109" s="189"/>
      <c r="J109" s="189"/>
      <c r="K109" s="189"/>
      <c r="L109" s="190"/>
    </row>
    <row r="110" spans="2:19" x14ac:dyDescent="0.35">
      <c r="B110" s="174" t="s">
        <v>100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7"/>
    </row>
    <row r="111" spans="2:19" ht="78" customHeight="1" x14ac:dyDescent="0.35">
      <c r="B111" s="7" t="s">
        <v>92</v>
      </c>
      <c r="C111" s="67" t="s">
        <v>62</v>
      </c>
      <c r="D111" s="15" t="s">
        <v>61</v>
      </c>
      <c r="E111" s="15" t="s">
        <v>61</v>
      </c>
      <c r="F111" s="60"/>
      <c r="G111" s="60"/>
      <c r="H111" s="60"/>
      <c r="I111" s="60"/>
      <c r="J111" s="4">
        <v>60</v>
      </c>
      <c r="K111" s="4">
        <v>60</v>
      </c>
      <c r="L111" s="40">
        <v>60</v>
      </c>
    </row>
    <row r="112" spans="2:19" x14ac:dyDescent="0.35">
      <c r="B112" s="7" t="s">
        <v>93</v>
      </c>
      <c r="C112" s="67" t="s">
        <v>63</v>
      </c>
      <c r="D112" s="15" t="s">
        <v>61</v>
      </c>
      <c r="E112" s="15" t="s">
        <v>61</v>
      </c>
      <c r="F112" s="60"/>
      <c r="G112" s="60"/>
      <c r="H112" s="60"/>
      <c r="I112" s="60"/>
      <c r="J112" s="4">
        <v>33</v>
      </c>
      <c r="K112" s="4">
        <v>40</v>
      </c>
      <c r="L112" s="40">
        <v>40</v>
      </c>
    </row>
    <row r="113" spans="1:12" ht="91.5" customHeight="1" x14ac:dyDescent="0.35">
      <c r="B113" s="7" t="s">
        <v>94</v>
      </c>
      <c r="C113" s="67" t="s">
        <v>120</v>
      </c>
      <c r="D113" s="15" t="s">
        <v>61</v>
      </c>
      <c r="E113" s="15" t="s">
        <v>61</v>
      </c>
      <c r="F113" s="60"/>
      <c r="G113" s="60"/>
      <c r="H113" s="60"/>
      <c r="I113" s="60"/>
      <c r="J113" s="4">
        <v>100</v>
      </c>
      <c r="K113" s="4">
        <v>100</v>
      </c>
      <c r="L113" s="40">
        <v>100</v>
      </c>
    </row>
    <row r="114" spans="1:12" ht="53.1" customHeight="1" thickBot="1" x14ac:dyDescent="0.4">
      <c r="A114" s="1" t="s">
        <v>86</v>
      </c>
      <c r="B114" s="5" t="s">
        <v>95</v>
      </c>
      <c r="C114" s="66" t="s">
        <v>175</v>
      </c>
      <c r="D114" s="16" t="s">
        <v>49</v>
      </c>
      <c r="E114" s="65" t="s">
        <v>25</v>
      </c>
      <c r="F114" s="30">
        <f>G114+H114+I114</f>
        <v>10472.400000000001</v>
      </c>
      <c r="G114" s="30">
        <v>3490.8</v>
      </c>
      <c r="H114" s="30">
        <v>3490.8</v>
      </c>
      <c r="I114" s="30">
        <v>3490.8</v>
      </c>
      <c r="J114" s="48"/>
      <c r="K114" s="48"/>
      <c r="L114" s="49"/>
    </row>
    <row r="115" spans="1:12" ht="18.600000000000001" thickBot="1" x14ac:dyDescent="0.4">
      <c r="B115" s="152" t="s">
        <v>50</v>
      </c>
      <c r="C115" s="153"/>
      <c r="D115" s="17"/>
      <c r="E115" s="29" t="s">
        <v>25</v>
      </c>
      <c r="F115" s="32">
        <f>G115+H115+I115</f>
        <v>10472.400000000001</v>
      </c>
      <c r="G115" s="36">
        <f>G114</f>
        <v>3490.8</v>
      </c>
      <c r="H115" s="36">
        <f>H114</f>
        <v>3490.8</v>
      </c>
      <c r="I115" s="57">
        <f t="shared" ref="I115" si="15">I114</f>
        <v>3490.8</v>
      </c>
      <c r="J115" s="8"/>
      <c r="K115" s="8"/>
      <c r="L115" s="47"/>
    </row>
    <row r="116" spans="1:12" ht="18.600000000000001" thickBot="1" x14ac:dyDescent="0.4">
      <c r="B116" s="186" t="s">
        <v>81</v>
      </c>
      <c r="C116" s="187"/>
      <c r="D116" s="18"/>
      <c r="E116" s="35"/>
      <c r="F116" s="32">
        <f>SUM(F19,F27,F31,F43,F87,F102,F108,F115)</f>
        <v>1105906.8999999997</v>
      </c>
      <c r="G116" s="32">
        <f>G115+G108+G102+G43+G31+G27+G19+G87</f>
        <v>365993.8</v>
      </c>
      <c r="H116" s="32">
        <f>H115+H108+H102+H43+H31+H27+H19+H87</f>
        <v>362936.3</v>
      </c>
      <c r="I116" s="53">
        <f>I115+I108+I102+I43+I31+I27+I19+I87</f>
        <v>376976.80000000005</v>
      </c>
      <c r="J116" s="8"/>
      <c r="K116" s="18"/>
      <c r="L116" s="50"/>
    </row>
    <row r="117" spans="1:12" x14ac:dyDescent="0.35">
      <c r="F117" s="37"/>
      <c r="G117" s="37"/>
      <c r="H117" s="37"/>
      <c r="I117" s="37"/>
    </row>
    <row r="118" spans="1:12" x14ac:dyDescent="0.35">
      <c r="F118" s="37"/>
      <c r="G118" s="37"/>
      <c r="H118" s="37"/>
      <c r="I118" s="37"/>
      <c r="J118" s="70"/>
    </row>
    <row r="119" spans="1:12" x14ac:dyDescent="0.35">
      <c r="F119" s="37"/>
      <c r="G119" s="37"/>
      <c r="H119" s="37"/>
      <c r="I119" s="37"/>
    </row>
    <row r="120" spans="1:12" x14ac:dyDescent="0.35">
      <c r="D120" s="1" t="s">
        <v>66</v>
      </c>
      <c r="F120" s="28">
        <f>SUM(F114,F100,F95,F85,F80,F71,F57,F54,F42,F40,F30)</f>
        <v>375822.69999999995</v>
      </c>
      <c r="G120" s="28">
        <f>SUM(G114,G100,G95,G85,G80,G71,G57,G54,G42,G40,G30)</f>
        <v>126581.29999999999</v>
      </c>
      <c r="H120" s="28">
        <f>SUM(H114,H100,H95,H85,H80,H71,H57,H54,H42,H40,H30)</f>
        <v>123107.09999999999</v>
      </c>
      <c r="I120" s="28">
        <f>SUM(I114,I100,I95,I85,I80,I71,I57,I54,I42,I40,I30)</f>
        <v>126134.29999999999</v>
      </c>
    </row>
    <row r="121" spans="1:12" x14ac:dyDescent="0.35">
      <c r="F121" s="28"/>
      <c r="G121" s="28"/>
      <c r="H121" s="28"/>
      <c r="I121" s="28"/>
    </row>
    <row r="122" spans="1:12" x14ac:dyDescent="0.35">
      <c r="D122" s="1" t="s">
        <v>67</v>
      </c>
      <c r="F122" s="28">
        <f>SUM(G122:I122)</f>
        <v>662507.10000000009</v>
      </c>
      <c r="G122" s="28">
        <f>SUM(G107,G84,G79,G73,G62,G56,G55,G41,G26,G15:G18)</f>
        <v>216587.2</v>
      </c>
      <c r="H122" s="28">
        <f>SUM(H107,H84,H79,H73,H62,H56,H55,H41,H26,H15:H18)</f>
        <v>216859.40000000002</v>
      </c>
      <c r="I122" s="28">
        <f>SUM(I107,I84,I79,I73,I62,I56,I55,I41,I26,I15:I18)</f>
        <v>229060.5</v>
      </c>
    </row>
    <row r="123" spans="1:12" x14ac:dyDescent="0.35">
      <c r="F123" s="10"/>
      <c r="G123" s="10"/>
      <c r="H123" s="10"/>
      <c r="I123" s="10"/>
    </row>
    <row r="124" spans="1:12" x14ac:dyDescent="0.35">
      <c r="D124" s="1" t="s">
        <v>121</v>
      </c>
      <c r="F124" s="28">
        <f>SUM(G124:I124)</f>
        <v>67577.100000000006</v>
      </c>
      <c r="G124" s="28">
        <f>SUM(G78,G63,G72)</f>
        <v>22825.300000000003</v>
      </c>
      <c r="H124" s="28">
        <f>SUM(H78,H63,H72)</f>
        <v>22969.8</v>
      </c>
      <c r="I124" s="28">
        <f>SUM(I78,I63)</f>
        <v>21782</v>
      </c>
    </row>
    <row r="126" spans="1:12" x14ac:dyDescent="0.35">
      <c r="F126" s="70">
        <f>SUM(F120:F124)</f>
        <v>1105906.9000000001</v>
      </c>
      <c r="G126" s="70">
        <f>SUM(G120:G124)</f>
        <v>365993.8</v>
      </c>
      <c r="H126" s="70">
        <f t="shared" ref="H126:I126" si="16">SUM(H120:H124)</f>
        <v>362936.3</v>
      </c>
      <c r="I126" s="70">
        <f t="shared" si="16"/>
        <v>376976.8</v>
      </c>
    </row>
    <row r="127" spans="1:12" x14ac:dyDescent="0.35">
      <c r="G127" s="120"/>
    </row>
    <row r="128" spans="1:12" x14ac:dyDescent="0.35">
      <c r="F128" s="70"/>
      <c r="G128" s="70"/>
      <c r="H128" s="70"/>
      <c r="I128" s="70"/>
    </row>
    <row r="129" spans="6:9" x14ac:dyDescent="0.35">
      <c r="F129" s="70"/>
      <c r="G129" s="70"/>
      <c r="H129" s="70"/>
      <c r="I129" s="70"/>
    </row>
    <row r="130" spans="6:9" x14ac:dyDescent="0.35">
      <c r="F130" s="70"/>
      <c r="G130" s="70"/>
    </row>
    <row r="137" spans="6:9" x14ac:dyDescent="0.35">
      <c r="G137" s="70"/>
      <c r="H137" s="70"/>
    </row>
  </sheetData>
  <mergeCells count="69">
    <mergeCell ref="B9:L9"/>
    <mergeCell ref="B58:C58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  <mergeCell ref="B86:C86"/>
    <mergeCell ref="B59:L59"/>
    <mergeCell ref="B28:L28"/>
    <mergeCell ref="B88:L88"/>
    <mergeCell ref="B89:L89"/>
    <mergeCell ref="B87:C87"/>
    <mergeCell ref="B64:C64"/>
    <mergeCell ref="D62:D64"/>
    <mergeCell ref="D54:D57"/>
    <mergeCell ref="D29:D30"/>
    <mergeCell ref="B45:L45"/>
    <mergeCell ref="B44:L44"/>
    <mergeCell ref="B65:L65"/>
    <mergeCell ref="D66:D73"/>
    <mergeCell ref="B71:B73"/>
    <mergeCell ref="C71:C73"/>
    <mergeCell ref="B116:C116"/>
    <mergeCell ref="B109:L109"/>
    <mergeCell ref="B110:L110"/>
    <mergeCell ref="B90:L90"/>
    <mergeCell ref="B108:C108"/>
    <mergeCell ref="B115:C115"/>
    <mergeCell ref="B102:C102"/>
    <mergeCell ref="B103:L103"/>
    <mergeCell ref="B104:L104"/>
    <mergeCell ref="B105:L105"/>
    <mergeCell ref="B101:C101"/>
    <mergeCell ref="D99:D100"/>
    <mergeCell ref="B96:C96"/>
    <mergeCell ref="B98:L98"/>
    <mergeCell ref="B97:L97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I2:L2"/>
    <mergeCell ref="B74:C74"/>
    <mergeCell ref="B82:L82"/>
    <mergeCell ref="B84:B85"/>
    <mergeCell ref="C84:C85"/>
    <mergeCell ref="B81:C81"/>
    <mergeCell ref="B75:L75"/>
    <mergeCell ref="D78:D80"/>
    <mergeCell ref="C78:C80"/>
    <mergeCell ref="B78:B80"/>
    <mergeCell ref="D84:D85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4" firstPageNumber="4" fitToWidth="0" fitToHeight="0" orientation="landscape" useFirstPageNumber="1" r:id="rId1"/>
  <headerFooter>
    <oddHeader>&amp;C&amp;P</oddHeader>
  </headerFooter>
  <rowBreaks count="4" manualBreakCount="4">
    <brk id="19" min="1" max="11" man="1"/>
    <brk id="43" min="1" max="11" man="1"/>
    <brk id="64" min="1" max="11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workbookViewId="0">
      <selection activeCell="A3" sqref="A3:E15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9" width="15.6640625" style="88" customWidth="1"/>
    <col min="10" max="10" width="9.5546875" style="88" bestFit="1" customWidth="1"/>
    <col min="11" max="11" width="8.6640625" style="88"/>
    <col min="12" max="12" width="11" style="87" bestFit="1" customWidth="1"/>
    <col min="13" max="40" width="8.6640625" style="87"/>
    <col min="41" max="16384" width="8.6640625" style="86"/>
  </cols>
  <sheetData>
    <row r="1" spans="1:40" x14ac:dyDescent="0.3">
      <c r="B1" s="88" t="s">
        <v>131</v>
      </c>
      <c r="C1" s="88" t="s">
        <v>130</v>
      </c>
      <c r="D1" s="88" t="s">
        <v>133</v>
      </c>
      <c r="E1" s="88" t="s">
        <v>129</v>
      </c>
      <c r="K1" s="87"/>
      <c r="AN1" s="86"/>
    </row>
    <row r="2" spans="1:40" x14ac:dyDescent="0.3">
      <c r="A2" s="86" t="s">
        <v>128</v>
      </c>
      <c r="B2" s="88">
        <f>SUM(B5:B14)</f>
        <v>3166845.5</v>
      </c>
      <c r="C2" s="88">
        <f>SUM(C5:C14)</f>
        <v>1113687.4999999998</v>
      </c>
      <c r="D2" s="88">
        <f>SUM(D5:D14)</f>
        <v>77446.399999999994</v>
      </c>
      <c r="E2" s="88">
        <f>SUM(E5:E14)</f>
        <v>1975711.6</v>
      </c>
      <c r="F2" s="88">
        <f>B2-C2-D2-E2</f>
        <v>0</v>
      </c>
      <c r="K2" s="87"/>
      <c r="AN2" s="86"/>
    </row>
    <row r="3" spans="1:40" ht="15.6" customHeight="1" x14ac:dyDescent="0.3">
      <c r="A3" s="236" t="s">
        <v>127</v>
      </c>
      <c r="B3" s="237" t="s">
        <v>126</v>
      </c>
      <c r="C3" s="238" t="s">
        <v>125</v>
      </c>
      <c r="D3" s="239"/>
      <c r="E3" s="240"/>
      <c r="K3" s="87"/>
      <c r="AN3" s="86"/>
    </row>
    <row r="4" spans="1:40" s="91" customFormat="1" ht="30" customHeight="1" x14ac:dyDescent="0.3">
      <c r="A4" s="236"/>
      <c r="B4" s="237"/>
      <c r="C4" s="133" t="s">
        <v>124</v>
      </c>
      <c r="D4" s="133" t="s">
        <v>132</v>
      </c>
      <c r="E4" s="133" t="s">
        <v>123</v>
      </c>
      <c r="F4" s="93"/>
      <c r="G4" s="93"/>
      <c r="H4" s="93"/>
      <c r="I4" s="93"/>
      <c r="J4" s="93"/>
      <c r="K4" s="92"/>
      <c r="L4" s="92">
        <v>273928.09999999998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0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K5" s="87"/>
      <c r="L5" s="87">
        <v>281079.8</v>
      </c>
      <c r="AN5" s="86"/>
    </row>
    <row r="6" spans="1:40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K6" s="87"/>
      <c r="L6" s="87">
        <v>291785.8</v>
      </c>
      <c r="AN6" s="86"/>
    </row>
    <row r="7" spans="1:40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K7" s="87"/>
      <c r="L7" s="87">
        <v>277682.40000000002</v>
      </c>
      <c r="AN7" s="86"/>
    </row>
    <row r="8" spans="1:40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K8" s="87"/>
      <c r="L8" s="87">
        <v>298118.7</v>
      </c>
      <c r="AN8" s="86"/>
    </row>
    <row r="9" spans="1:40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K9" s="87"/>
      <c r="L9" s="87">
        <v>302496</v>
      </c>
      <c r="AN9" s="86"/>
    </row>
    <row r="10" spans="1:40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G10" s="88">
        <v>320846.60000000003</v>
      </c>
      <c r="H10" s="88">
        <v>327213.8</v>
      </c>
      <c r="I10" s="88">
        <v>336733.9</v>
      </c>
      <c r="K10" s="87"/>
      <c r="L10" s="87">
        <v>335847.8</v>
      </c>
      <c r="AN10" s="86"/>
    </row>
    <row r="11" spans="1:40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G11" s="88">
        <v>209447.8</v>
      </c>
      <c r="H11" s="88">
        <v>224712.3</v>
      </c>
      <c r="I11" s="88">
        <v>234098.5</v>
      </c>
      <c r="K11" s="87"/>
      <c r="L11" s="87">
        <v>365597.4</v>
      </c>
      <c r="AN11" s="86"/>
    </row>
    <row r="12" spans="1:40" x14ac:dyDescent="0.3">
      <c r="A12" s="90">
        <v>2021</v>
      </c>
      <c r="B12" s="89">
        <f>'План-реал'!G116</f>
        <v>365993.8</v>
      </c>
      <c r="C12" s="89">
        <f>'План-реал'!G120</f>
        <v>126581.29999999999</v>
      </c>
      <c r="D12" s="89">
        <f>'План-реал'!G124</f>
        <v>22825.300000000003</v>
      </c>
      <c r="E12" s="89">
        <f>'План-реал'!G122</f>
        <v>216587.2</v>
      </c>
      <c r="F12" s="88">
        <f>SUM(C13:E13)-B13</f>
        <v>0</v>
      </c>
      <c r="K12" s="87"/>
      <c r="L12" s="87">
        <v>349624.3</v>
      </c>
      <c r="AN12" s="86"/>
    </row>
    <row r="13" spans="1:40" x14ac:dyDescent="0.3">
      <c r="A13" s="90">
        <v>2022</v>
      </c>
      <c r="B13" s="89">
        <f>'План-реал'!H116</f>
        <v>362936.3</v>
      </c>
      <c r="C13" s="89">
        <f>'План-реал'!H120</f>
        <v>123107.09999999999</v>
      </c>
      <c r="D13" s="89">
        <f>'План-реал'!H124</f>
        <v>22969.8</v>
      </c>
      <c r="E13" s="89">
        <f>'План-реал'!H122</f>
        <v>216859.40000000002</v>
      </c>
      <c r="F13" s="88">
        <f>SUM(C14:E14)-B14</f>
        <v>0</v>
      </c>
      <c r="K13" s="87"/>
      <c r="L13" s="87">
        <v>363253.9</v>
      </c>
      <c r="AN13" s="86"/>
    </row>
    <row r="14" spans="1:40" x14ac:dyDescent="0.3">
      <c r="A14" s="90">
        <v>2023</v>
      </c>
      <c r="B14" s="89">
        <f>'План-реал'!I116</f>
        <v>376976.80000000005</v>
      </c>
      <c r="C14" s="89">
        <f>'План-реал'!I120</f>
        <v>126134.29999999999</v>
      </c>
      <c r="D14" s="89">
        <f>'План-реал'!I124</f>
        <v>21782</v>
      </c>
      <c r="E14" s="89">
        <f>'План-реал'!I122</f>
        <v>229060.5</v>
      </c>
      <c r="F14" s="88">
        <f t="shared" ref="F14" si="0">SUM(C14:E14)-B14</f>
        <v>0</v>
      </c>
    </row>
    <row r="15" spans="1:40" x14ac:dyDescent="0.3">
      <c r="A15" s="90" t="s">
        <v>220</v>
      </c>
      <c r="B15" s="89">
        <f>SUM(B5:B14)</f>
        <v>3166845.5</v>
      </c>
      <c r="C15" s="89">
        <f t="shared" ref="C15:E15" si="1">SUM(C5:C14)</f>
        <v>1113687.4999999998</v>
      </c>
      <c r="D15" s="89">
        <f t="shared" si="1"/>
        <v>77446.399999999994</v>
      </c>
      <c r="E15" s="89">
        <f t="shared" si="1"/>
        <v>1975711.6</v>
      </c>
      <c r="F15" s="88">
        <f>B15-C15-D15-E15</f>
        <v>0</v>
      </c>
    </row>
    <row r="16" spans="1:40" x14ac:dyDescent="0.3">
      <c r="B16" s="244" t="s">
        <v>134</v>
      </c>
      <c r="C16" s="244"/>
      <c r="D16" s="244"/>
      <c r="K16" s="87"/>
      <c r="AN16" s="86"/>
    </row>
    <row r="17" spans="1:40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G17" s="88" t="e">
        <f>F17-B17</f>
        <v>#VALUE!</v>
      </c>
      <c r="K17" s="87"/>
      <c r="AN17" s="86"/>
    </row>
    <row r="18" spans="1:40" ht="15.6" customHeight="1" x14ac:dyDescent="0.3">
      <c r="A18" s="86" t="s">
        <v>128</v>
      </c>
      <c r="B18" s="88">
        <f>SUM(B21:B30)</f>
        <v>1424555</v>
      </c>
      <c r="C18" s="88">
        <f>SUM(C21:C30)</f>
        <v>684982.5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8">
        <v>20</v>
      </c>
      <c r="I18" s="88">
        <v>21</v>
      </c>
      <c r="J18" s="88">
        <v>22</v>
      </c>
      <c r="K18" s="87"/>
      <c r="AN18" s="86"/>
    </row>
    <row r="19" spans="1:40" s="91" customFormat="1" ht="30" customHeight="1" x14ac:dyDescent="0.3">
      <c r="A19" s="236" t="s">
        <v>127</v>
      </c>
      <c r="B19" s="237" t="s">
        <v>126</v>
      </c>
      <c r="C19" s="238" t="s">
        <v>125</v>
      </c>
      <c r="D19" s="239"/>
      <c r="E19" s="240"/>
      <c r="F19" s="88"/>
      <c r="G19" s="93"/>
      <c r="H19" s="88">
        <v>28982432.670000002</v>
      </c>
      <c r="I19" s="88"/>
      <c r="J19" s="88"/>
      <c r="K19" s="92"/>
      <c r="L19" s="88">
        <f>28982.4</f>
        <v>28982.400000000001</v>
      </c>
      <c r="M19" s="88"/>
      <c r="N19" s="8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40" ht="31.2" x14ac:dyDescent="0.3">
      <c r="A20" s="236"/>
      <c r="B20" s="237"/>
      <c r="C20" s="133" t="s">
        <v>124</v>
      </c>
      <c r="D20" s="133" t="s">
        <v>132</v>
      </c>
      <c r="E20" s="133" t="s">
        <v>123</v>
      </c>
      <c r="F20" s="93"/>
      <c r="H20" s="88">
        <v>2507839</v>
      </c>
      <c r="K20" s="87"/>
      <c r="L20" s="88">
        <v>2507.8000000000002</v>
      </c>
      <c r="M20" s="88"/>
      <c r="N20" s="88"/>
      <c r="AN20" s="86"/>
    </row>
    <row r="21" spans="1:40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8">
        <v>2456.21</v>
      </c>
      <c r="I21" s="88">
        <v>8596.4699999999993</v>
      </c>
      <c r="J21" s="88">
        <v>11052.63</v>
      </c>
      <c r="K21" s="87"/>
      <c r="L21" s="88">
        <v>2.5</v>
      </c>
      <c r="M21" s="88">
        <v>8.6</v>
      </c>
      <c r="N21" s="88">
        <v>11.1</v>
      </c>
      <c r="AN21" s="86"/>
    </row>
    <row r="22" spans="1:40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8">
        <v>46668</v>
      </c>
      <c r="I22" s="88">
        <v>163333</v>
      </c>
      <c r="J22" s="88">
        <v>210000</v>
      </c>
      <c r="K22" s="87"/>
      <c r="L22" s="88">
        <v>46.7</v>
      </c>
      <c r="M22" s="88">
        <v>163.30000000000001</v>
      </c>
      <c r="N22" s="88">
        <v>210</v>
      </c>
      <c r="AN22" s="86"/>
    </row>
    <row r="23" spans="1:40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8">
        <f>ROUND(SUM(H19:H22)/1000,1)</f>
        <v>31539.4</v>
      </c>
      <c r="I23" s="88">
        <f t="shared" ref="I23:J23" si="3">ROUND(SUM(I19:I22)/1000,1)</f>
        <v>171.9</v>
      </c>
      <c r="J23" s="88">
        <f t="shared" si="3"/>
        <v>221.1</v>
      </c>
      <c r="K23" s="87"/>
      <c r="L23" s="87">
        <f>SUM(L19:L22)</f>
        <v>31539.4</v>
      </c>
      <c r="M23" s="87">
        <f t="shared" ref="M23:N23" si="4">SUM(M19:M22)</f>
        <v>171.9</v>
      </c>
      <c r="N23" s="87">
        <f t="shared" si="4"/>
        <v>221.1</v>
      </c>
      <c r="AN23" s="86"/>
    </row>
    <row r="24" spans="1:40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K24" s="87"/>
      <c r="AN24" s="86"/>
    </row>
    <row r="25" spans="1:40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K25" s="87"/>
      <c r="L25" s="87">
        <v>31536.9</v>
      </c>
      <c r="AN25" s="86"/>
    </row>
    <row r="26" spans="1:40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G26" s="88">
        <v>157335.29999999999</v>
      </c>
      <c r="H26" s="88">
        <v>155324.20000000001</v>
      </c>
      <c r="I26" s="88">
        <v>158680.79999999999</v>
      </c>
      <c r="K26" s="87"/>
      <c r="L26" s="87">
        <f>L23-L25</f>
        <v>2.5</v>
      </c>
      <c r="AN26" s="86"/>
    </row>
    <row r="27" spans="1:40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K27" s="87"/>
      <c r="AN27" s="86"/>
    </row>
    <row r="28" spans="1:40" x14ac:dyDescent="0.3">
      <c r="A28" s="90">
        <v>2021</v>
      </c>
      <c r="B28" s="89">
        <f>'План-реал'!G43</f>
        <v>158534.5</v>
      </c>
      <c r="C28" s="89">
        <f>'План-реал'!G40+'План-реал'!G42</f>
        <v>76926.7</v>
      </c>
      <c r="D28" s="89">
        <v>0</v>
      </c>
      <c r="E28" s="89">
        <f>'План-реал'!G41</f>
        <v>81607.8</v>
      </c>
      <c r="F28" s="94">
        <f>SUM(C29:E29)-B29</f>
        <v>0</v>
      </c>
      <c r="K28" s="87"/>
      <c r="AN28" s="86"/>
    </row>
    <row r="29" spans="1:40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40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5">SUM(C30:E30)-B30</f>
        <v>0</v>
      </c>
      <c r="K30" s="87"/>
      <c r="AN30" s="86"/>
    </row>
    <row r="31" spans="1:40" x14ac:dyDescent="0.3">
      <c r="A31" s="90" t="s">
        <v>220</v>
      </c>
      <c r="B31" s="89">
        <f>SUM(B21:B30)</f>
        <v>1424555</v>
      </c>
      <c r="C31" s="89">
        <f t="shared" ref="C31:E31" si="6">SUM(C21:C30)</f>
        <v>684982.5</v>
      </c>
      <c r="D31" s="89">
        <f t="shared" si="6"/>
        <v>1807.7</v>
      </c>
      <c r="E31" s="89">
        <f t="shared" si="6"/>
        <v>737764.8</v>
      </c>
      <c r="F31" s="88">
        <f>B31-C31-D31-E31</f>
        <v>0</v>
      </c>
    </row>
    <row r="32" spans="1:40" x14ac:dyDescent="0.3">
      <c r="B32" s="241" t="s">
        <v>135</v>
      </c>
      <c r="C32" s="241"/>
      <c r="D32" s="241"/>
      <c r="K32" s="87"/>
      <c r="AN32" s="86"/>
    </row>
    <row r="33" spans="1:40" ht="15.6" customHeight="1" x14ac:dyDescent="0.3">
      <c r="B33" s="88" t="s">
        <v>131</v>
      </c>
      <c r="C33" s="88" t="s">
        <v>130</v>
      </c>
      <c r="E33" s="88" t="s">
        <v>129</v>
      </c>
      <c r="J33" s="87"/>
      <c r="K33" s="87"/>
      <c r="AM33" s="86"/>
      <c r="AN33" s="86"/>
    </row>
    <row r="34" spans="1:40" s="91" customFormat="1" ht="30" customHeight="1" x14ac:dyDescent="0.3">
      <c r="A34" s="86" t="s">
        <v>128</v>
      </c>
      <c r="B34" s="88">
        <f>SUM(B37:B46)</f>
        <v>1408454</v>
      </c>
      <c r="C34" s="88">
        <f>SUM(C37:C46)</f>
        <v>205379.00000000003</v>
      </c>
      <c r="D34" s="88">
        <f>SUM(D37:D46)</f>
        <v>75638.7</v>
      </c>
      <c r="E34" s="88">
        <f>SUM(E37:E46)</f>
        <v>1127436.3</v>
      </c>
      <c r="F34" s="88">
        <f>B34-C34-D34-E34</f>
        <v>0</v>
      </c>
      <c r="G34" s="93"/>
      <c r="H34" s="93"/>
      <c r="I34" s="93"/>
      <c r="J34" s="93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1:40" x14ac:dyDescent="0.3">
      <c r="A35" s="236" t="s">
        <v>127</v>
      </c>
      <c r="B35" s="237" t="s">
        <v>126</v>
      </c>
      <c r="C35" s="238" t="s">
        <v>125</v>
      </c>
      <c r="D35" s="239"/>
      <c r="E35" s="240"/>
      <c r="K35" s="87"/>
      <c r="AN35" s="86"/>
    </row>
    <row r="36" spans="1:40" ht="31.2" x14ac:dyDescent="0.3">
      <c r="A36" s="236"/>
      <c r="B36" s="237"/>
      <c r="C36" s="133" t="s">
        <v>124</v>
      </c>
      <c r="D36" s="133" t="s">
        <v>132</v>
      </c>
      <c r="E36" s="133" t="s">
        <v>123</v>
      </c>
      <c r="F36" s="93"/>
      <c r="K36" s="87"/>
      <c r="AN36" s="86"/>
    </row>
    <row r="37" spans="1:40" x14ac:dyDescent="0.3">
      <c r="A37" s="90">
        <v>2014</v>
      </c>
      <c r="B37" s="89">
        <v>115900.2</v>
      </c>
      <c r="C37" s="89">
        <f t="shared" ref="C37:C42" si="7">B37-E37</f>
        <v>20978.399999999994</v>
      </c>
      <c r="D37" s="89">
        <v>0</v>
      </c>
      <c r="E37" s="89">
        <v>94921.8</v>
      </c>
      <c r="K37" s="87"/>
      <c r="AN37" s="86"/>
    </row>
    <row r="38" spans="1:40" x14ac:dyDescent="0.3">
      <c r="A38" s="90">
        <v>2015</v>
      </c>
      <c r="B38" s="89">
        <v>117139.5</v>
      </c>
      <c r="C38" s="89">
        <f t="shared" si="7"/>
        <v>19043.100000000006</v>
      </c>
      <c r="D38" s="89">
        <v>0</v>
      </c>
      <c r="E38" s="89">
        <v>98096.4</v>
      </c>
      <c r="K38" s="87"/>
      <c r="AN38" s="86"/>
    </row>
    <row r="39" spans="1:40" x14ac:dyDescent="0.3">
      <c r="A39" s="90">
        <v>2016</v>
      </c>
      <c r="B39" s="89">
        <v>123258.5</v>
      </c>
      <c r="C39" s="89">
        <f t="shared" si="7"/>
        <v>24597.699999999997</v>
      </c>
      <c r="D39" s="89">
        <v>0</v>
      </c>
      <c r="E39" s="89">
        <v>98660.800000000003</v>
      </c>
      <c r="K39" s="87"/>
      <c r="AN39" s="86"/>
    </row>
    <row r="40" spans="1:40" x14ac:dyDescent="0.3">
      <c r="A40" s="90">
        <v>2017</v>
      </c>
      <c r="B40" s="89">
        <v>128752.6</v>
      </c>
      <c r="C40" s="89">
        <f t="shared" si="7"/>
        <v>27414.900000000009</v>
      </c>
      <c r="D40" s="89">
        <v>0</v>
      </c>
      <c r="E40" s="89">
        <v>101337.7</v>
      </c>
      <c r="K40" s="87"/>
      <c r="AN40" s="86"/>
    </row>
    <row r="41" spans="1:40" x14ac:dyDescent="0.3">
      <c r="A41" s="90">
        <v>2018</v>
      </c>
      <c r="B41" s="89">
        <v>135847</v>
      </c>
      <c r="C41" s="89">
        <f t="shared" si="7"/>
        <v>20714.5</v>
      </c>
      <c r="D41" s="89">
        <v>0</v>
      </c>
      <c r="E41" s="89">
        <v>115132.5</v>
      </c>
      <c r="G41" s="88">
        <v>138496.50000000003</v>
      </c>
      <c r="H41" s="88">
        <v>146741.19999999998</v>
      </c>
      <c r="I41" s="88">
        <v>152714.00000000003</v>
      </c>
      <c r="K41" s="87"/>
      <c r="AN41" s="86"/>
    </row>
    <row r="42" spans="1:40" x14ac:dyDescent="0.3">
      <c r="A42" s="90">
        <v>2019</v>
      </c>
      <c r="B42" s="89">
        <v>136573.5</v>
      </c>
      <c r="C42" s="89">
        <f t="shared" si="7"/>
        <v>23634.100000000006</v>
      </c>
      <c r="D42" s="89">
        <v>0</v>
      </c>
      <c r="E42" s="89">
        <v>112939.4</v>
      </c>
      <c r="G42" s="88">
        <v>116388.40000000001</v>
      </c>
      <c r="H42" s="88">
        <v>128633.1</v>
      </c>
      <c r="I42" s="88">
        <v>134605.9</v>
      </c>
      <c r="K42" s="87"/>
      <c r="AN42" s="86"/>
    </row>
    <row r="43" spans="1:40" x14ac:dyDescent="0.3">
      <c r="A43" s="90">
        <v>2020</v>
      </c>
      <c r="B43" s="89">
        <v>140863.1</v>
      </c>
      <c r="C43" s="89">
        <v>20750.099999999999</v>
      </c>
      <c r="D43" s="89">
        <v>8061.6</v>
      </c>
      <c r="E43" s="89">
        <v>112051.40000000001</v>
      </c>
      <c r="F43" s="94">
        <f>SUM(C43:E43)-B43</f>
        <v>0</v>
      </c>
      <c r="K43" s="87"/>
      <c r="AN43" s="86"/>
    </row>
    <row r="44" spans="1:40" x14ac:dyDescent="0.3">
      <c r="A44" s="90">
        <v>2021</v>
      </c>
      <c r="B44" s="89">
        <f>'План-реал'!G87</f>
        <v>162821.9</v>
      </c>
      <c r="C44" s="89">
        <f>'План-реал'!M83</f>
        <v>16081.000000000002</v>
      </c>
      <c r="D44" s="89">
        <f>'План-реал'!M85</f>
        <v>22825.300000000003</v>
      </c>
      <c r="E44" s="89">
        <f>'План-реал'!M87</f>
        <v>123915.6</v>
      </c>
      <c r="F44" s="94">
        <f>SUM(C44:E44)-B44</f>
        <v>0</v>
      </c>
    </row>
    <row r="45" spans="1:40" x14ac:dyDescent="0.3">
      <c r="A45" s="90">
        <v>2022</v>
      </c>
      <c r="B45" s="89">
        <f>'План-реал'!H87</f>
        <v>170408.39999999997</v>
      </c>
      <c r="C45" s="89">
        <f>'План-реал'!N83</f>
        <v>16068.999999999998</v>
      </c>
      <c r="D45" s="89">
        <f>'План-реал'!N85</f>
        <v>22969.8</v>
      </c>
      <c r="E45" s="89">
        <f>'План-реал'!N87</f>
        <v>131369.60000000001</v>
      </c>
      <c r="F45" s="94">
        <f>SUM(C45:E45)-B45</f>
        <v>0</v>
      </c>
      <c r="K45" s="87"/>
      <c r="AN45" s="86"/>
    </row>
    <row r="46" spans="1:40" x14ac:dyDescent="0.3">
      <c r="A46" s="90">
        <v>2023</v>
      </c>
      <c r="B46" s="89">
        <f>'План-реал'!I87</f>
        <v>176889.30000000002</v>
      </c>
      <c r="C46" s="89">
        <f>'План-реал'!O83</f>
        <v>16096.2</v>
      </c>
      <c r="D46" s="89">
        <f>'План-реал'!O85</f>
        <v>21782</v>
      </c>
      <c r="E46" s="89">
        <f>'План-реал'!O87</f>
        <v>139011.1</v>
      </c>
      <c r="F46" s="94">
        <f>SUM(C46:E46)-B46</f>
        <v>0</v>
      </c>
      <c r="K46" s="87"/>
      <c r="AN46" s="86"/>
    </row>
    <row r="47" spans="1:40" x14ac:dyDescent="0.3">
      <c r="A47" s="90" t="s">
        <v>220</v>
      </c>
      <c r="B47" s="89">
        <f>SUM(B37:B46)</f>
        <v>1408454</v>
      </c>
      <c r="C47" s="89">
        <f t="shared" ref="C47" si="8">SUM(C37:C46)</f>
        <v>205379.00000000003</v>
      </c>
      <c r="D47" s="89">
        <f t="shared" ref="D47" si="9">SUM(D37:D46)</f>
        <v>75638.7</v>
      </c>
      <c r="E47" s="89">
        <f t="shared" ref="E47" si="10">SUM(E37:E46)</f>
        <v>1127436.3</v>
      </c>
      <c r="F47" s="94">
        <f>SUM(C47:E47)-B47</f>
        <v>0</v>
      </c>
      <c r="K47" s="87"/>
      <c r="AN47" s="86"/>
    </row>
    <row r="48" spans="1:40" ht="15.6" customHeight="1" x14ac:dyDescent="0.3">
      <c r="A48" s="242" t="s">
        <v>146</v>
      </c>
      <c r="B48" s="242"/>
      <c r="C48" s="242"/>
      <c r="D48" s="242"/>
      <c r="J48" s="87"/>
      <c r="K48" s="87"/>
      <c r="AM48" s="86"/>
      <c r="AN48" s="86"/>
    </row>
    <row r="49" spans="1:40" s="91" customFormat="1" ht="30" customHeight="1" x14ac:dyDescent="0.3">
      <c r="A49" s="86"/>
      <c r="B49" s="88" t="s">
        <v>131</v>
      </c>
      <c r="C49" s="88" t="s">
        <v>130</v>
      </c>
      <c r="D49" s="88"/>
      <c r="E49" s="88" t="s">
        <v>129</v>
      </c>
      <c r="F49" s="88"/>
      <c r="G49" s="93"/>
      <c r="H49" s="93"/>
      <c r="I49" s="93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1:40" x14ac:dyDescent="0.3">
      <c r="A50" s="86" t="s">
        <v>128</v>
      </c>
      <c r="B50" s="88">
        <f>SUM(B53:B62)</f>
        <v>154873.1</v>
      </c>
      <c r="C50" s="88">
        <f>SUM(C53:C62)</f>
        <v>153790.5</v>
      </c>
      <c r="D50" s="88">
        <f>SUM(D53:D62)</f>
        <v>1082.5999999999999</v>
      </c>
      <c r="E50" s="88">
        <f>B50-C50-D50</f>
        <v>5.9117155615240335E-12</v>
      </c>
      <c r="J50" s="87"/>
      <c r="K50" s="87"/>
      <c r="AM50" s="86"/>
      <c r="AN50" s="86"/>
    </row>
    <row r="51" spans="1:40" x14ac:dyDescent="0.3">
      <c r="A51" s="236" t="s">
        <v>127</v>
      </c>
      <c r="B51" s="237" t="s">
        <v>126</v>
      </c>
      <c r="C51" s="101" t="s">
        <v>125</v>
      </c>
      <c r="D51" s="102"/>
      <c r="J51" s="87"/>
      <c r="K51" s="87"/>
      <c r="AM51" s="86"/>
      <c r="AN51" s="86"/>
    </row>
    <row r="52" spans="1:40" ht="31.2" x14ac:dyDescent="0.3">
      <c r="A52" s="236"/>
      <c r="B52" s="237"/>
      <c r="C52" s="133" t="s">
        <v>124</v>
      </c>
      <c r="D52" s="133" t="s">
        <v>123</v>
      </c>
      <c r="E52" s="93"/>
      <c r="F52" s="93"/>
      <c r="J52" s="87"/>
      <c r="K52" s="87"/>
      <c r="AM52" s="86"/>
      <c r="AN52" s="86"/>
    </row>
    <row r="53" spans="1:40" x14ac:dyDescent="0.3">
      <c r="A53" s="90">
        <v>2014</v>
      </c>
      <c r="B53" s="89">
        <v>8386.7999999999993</v>
      </c>
      <c r="C53" s="89">
        <f t="shared" ref="C53:C58" si="11">B53-D53</f>
        <v>8386.7999999999993</v>
      </c>
      <c r="D53" s="89">
        <v>0</v>
      </c>
      <c r="J53" s="87"/>
      <c r="K53" s="87"/>
      <c r="AM53" s="86"/>
      <c r="AN53" s="86"/>
    </row>
    <row r="54" spans="1:40" x14ac:dyDescent="0.3">
      <c r="A54" s="90">
        <v>2015</v>
      </c>
      <c r="B54" s="89">
        <v>9040.1</v>
      </c>
      <c r="C54" s="89">
        <f t="shared" si="11"/>
        <v>9040.1</v>
      </c>
      <c r="D54" s="89">
        <v>0</v>
      </c>
      <c r="J54" s="87"/>
      <c r="K54" s="87"/>
      <c r="AM54" s="86"/>
      <c r="AN54" s="86"/>
    </row>
    <row r="55" spans="1:40" x14ac:dyDescent="0.3">
      <c r="A55" s="90">
        <v>2016</v>
      </c>
      <c r="B55" s="89">
        <v>10346.5</v>
      </c>
      <c r="C55" s="89">
        <f t="shared" si="11"/>
        <v>10200.4</v>
      </c>
      <c r="D55" s="89">
        <v>146.1</v>
      </c>
      <c r="J55" s="87"/>
      <c r="K55" s="87"/>
      <c r="AM55" s="86"/>
      <c r="AN55" s="86"/>
    </row>
    <row r="56" spans="1:40" x14ac:dyDescent="0.3">
      <c r="A56" s="90">
        <v>2017</v>
      </c>
      <c r="B56" s="89">
        <v>8690.7000000000007</v>
      </c>
      <c r="C56" s="89">
        <f t="shared" si="11"/>
        <v>8617.4000000000015</v>
      </c>
      <c r="D56" s="89">
        <v>73.3</v>
      </c>
      <c r="G56" s="88">
        <v>10060</v>
      </c>
      <c r="H56" s="88">
        <v>10060</v>
      </c>
      <c r="J56" s="87"/>
      <c r="K56" s="87"/>
      <c r="AM56" s="86"/>
      <c r="AN56" s="86"/>
    </row>
    <row r="57" spans="1:40" x14ac:dyDescent="0.3">
      <c r="A57" s="90">
        <v>2018</v>
      </c>
      <c r="B57" s="89">
        <v>9736.2999999999993</v>
      </c>
      <c r="C57" s="89">
        <f t="shared" si="11"/>
        <v>9669.6999999999989</v>
      </c>
      <c r="D57" s="89">
        <v>66.599999999999994</v>
      </c>
      <c r="J57" s="87"/>
      <c r="K57" s="87"/>
      <c r="AM57" s="86"/>
      <c r="AN57" s="86"/>
    </row>
    <row r="58" spans="1:40" x14ac:dyDescent="0.3">
      <c r="A58" s="90">
        <v>2019</v>
      </c>
      <c r="B58" s="89">
        <v>10668.8</v>
      </c>
      <c r="C58" s="89">
        <f t="shared" si="11"/>
        <v>9872.1999999999989</v>
      </c>
      <c r="D58" s="89">
        <v>796.6</v>
      </c>
      <c r="J58" s="87"/>
      <c r="K58" s="87"/>
      <c r="AM58" s="86"/>
      <c r="AN58" s="86"/>
    </row>
    <row r="59" spans="1:40" x14ac:dyDescent="0.3">
      <c r="A59" s="90">
        <v>2020</v>
      </c>
      <c r="B59" s="89">
        <v>11011.7</v>
      </c>
      <c r="C59" s="89">
        <v>11011.7</v>
      </c>
      <c r="D59" s="89">
        <v>0</v>
      </c>
    </row>
    <row r="60" spans="1:40" x14ac:dyDescent="0.3">
      <c r="A60" s="90">
        <v>2021</v>
      </c>
      <c r="B60" s="89">
        <f>'План-реал'!G102</f>
        <v>29997.399999999998</v>
      </c>
      <c r="C60" s="89">
        <f>'Суммы МП'!B60</f>
        <v>29997.399999999998</v>
      </c>
      <c r="D60" s="89">
        <v>0</v>
      </c>
      <c r="K60" s="87"/>
      <c r="AN60" s="86"/>
    </row>
    <row r="61" spans="1:40" x14ac:dyDescent="0.3">
      <c r="A61" s="90">
        <v>2022</v>
      </c>
      <c r="B61" s="89">
        <f>'План-реал'!H102</f>
        <v>26997.4</v>
      </c>
      <c r="C61" s="89">
        <f>B61</f>
        <v>26997.4</v>
      </c>
      <c r="D61" s="89">
        <v>0</v>
      </c>
      <c r="K61" s="87"/>
      <c r="AN61" s="86"/>
    </row>
    <row r="62" spans="1:40" ht="15.6" customHeight="1" x14ac:dyDescent="0.3">
      <c r="A62" s="90">
        <v>2023</v>
      </c>
      <c r="B62" s="89">
        <f>'План-реал'!I102</f>
        <v>29997.4</v>
      </c>
      <c r="C62" s="89">
        <f>B62</f>
        <v>29997.4</v>
      </c>
      <c r="D62" s="89">
        <v>0</v>
      </c>
      <c r="K62" s="87"/>
      <c r="AN62" s="86"/>
    </row>
    <row r="63" spans="1:40" ht="15.6" customHeight="1" x14ac:dyDescent="0.3">
      <c r="A63" s="90" t="s">
        <v>220</v>
      </c>
      <c r="B63" s="89">
        <f>SUM(B53:B62)</f>
        <v>154873.1</v>
      </c>
      <c r="C63" s="89">
        <f t="shared" ref="C63" si="12">SUM(C53:C62)</f>
        <v>153790.5</v>
      </c>
      <c r="D63" s="89">
        <f t="shared" ref="D63" si="13">SUM(D53:D62)</f>
        <v>1082.5999999999999</v>
      </c>
      <c r="E63" s="88">
        <f>B63-C63-D63</f>
        <v>5.9117155615240335E-12</v>
      </c>
      <c r="K63" s="87"/>
      <c r="AN63" s="86"/>
    </row>
    <row r="64" spans="1:40" s="91" customFormat="1" ht="30" customHeight="1" x14ac:dyDescent="0.3">
      <c r="A64" s="86"/>
      <c r="B64" s="88"/>
      <c r="C64" s="88"/>
      <c r="D64" s="88"/>
      <c r="E64" s="88"/>
      <c r="F64" s="88"/>
      <c r="G64" s="93"/>
      <c r="H64" s="93"/>
      <c r="I64" s="93"/>
      <c r="J64" s="93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40" ht="18" x14ac:dyDescent="0.35">
      <c r="A65" s="243" t="s">
        <v>207</v>
      </c>
      <c r="B65" s="243"/>
      <c r="C65" s="243"/>
      <c r="D65" s="243"/>
      <c r="K65" s="87"/>
      <c r="AN65" s="86"/>
    </row>
    <row r="66" spans="1:40" x14ac:dyDescent="0.3">
      <c r="B66" s="88" t="s">
        <v>131</v>
      </c>
      <c r="C66" s="88" t="s">
        <v>130</v>
      </c>
      <c r="D66" s="88" t="s">
        <v>129</v>
      </c>
      <c r="K66" s="87"/>
      <c r="AN66" s="86"/>
    </row>
    <row r="67" spans="1:40" x14ac:dyDescent="0.3">
      <c r="A67" s="86" t="s">
        <v>128</v>
      </c>
      <c r="B67" s="88">
        <f>SUM(B70:B79)</f>
        <v>9880.7000000000007</v>
      </c>
      <c r="C67" s="88">
        <f>SUM(C70:C79)</f>
        <v>2371.6000000000004</v>
      </c>
      <c r="D67" s="88">
        <f>SUM(D70:D79)</f>
        <v>7509.0999999999995</v>
      </c>
      <c r="E67" s="88">
        <f>B67-C67-D67</f>
        <v>0</v>
      </c>
      <c r="K67" s="87"/>
      <c r="AN67" s="86"/>
    </row>
    <row r="68" spans="1:40" x14ac:dyDescent="0.3">
      <c r="A68" s="236" t="s">
        <v>127</v>
      </c>
      <c r="B68" s="237" t="s">
        <v>126</v>
      </c>
      <c r="C68" s="238" t="s">
        <v>125</v>
      </c>
      <c r="D68" s="240"/>
      <c r="K68" s="87"/>
      <c r="AN68" s="86"/>
    </row>
    <row r="69" spans="1:40" ht="31.2" x14ac:dyDescent="0.3">
      <c r="A69" s="236"/>
      <c r="B69" s="237"/>
      <c r="C69" s="133" t="s">
        <v>124</v>
      </c>
      <c r="D69" s="133" t="s">
        <v>123</v>
      </c>
      <c r="E69" s="93"/>
      <c r="F69" s="93"/>
      <c r="K69" s="87"/>
      <c r="AN69" s="86"/>
    </row>
    <row r="70" spans="1:40" x14ac:dyDescent="0.3">
      <c r="A70" s="90">
        <v>2014</v>
      </c>
      <c r="B70" s="89">
        <v>1764.2</v>
      </c>
      <c r="C70" s="89">
        <f t="shared" ref="C70:C75" si="14">B70-D70</f>
        <v>530</v>
      </c>
      <c r="D70" s="89">
        <v>1234.2</v>
      </c>
      <c r="K70" s="87"/>
      <c r="AN70" s="86"/>
    </row>
    <row r="71" spans="1:40" x14ac:dyDescent="0.3">
      <c r="A71" s="90">
        <v>2015</v>
      </c>
      <c r="B71" s="89">
        <v>1960.6</v>
      </c>
      <c r="C71" s="89">
        <f t="shared" si="14"/>
        <v>720.3</v>
      </c>
      <c r="D71" s="89">
        <v>1240.3</v>
      </c>
      <c r="G71" s="88">
        <v>10060</v>
      </c>
      <c r="H71" s="88">
        <v>10060</v>
      </c>
      <c r="I71" s="88">
        <v>10060</v>
      </c>
      <c r="K71" s="87"/>
      <c r="AN71" s="86"/>
    </row>
    <row r="72" spans="1:40" x14ac:dyDescent="0.3">
      <c r="A72" s="90">
        <v>2016</v>
      </c>
      <c r="B72" s="89">
        <v>1718.7</v>
      </c>
      <c r="C72" s="89">
        <f t="shared" si="14"/>
        <v>555.5</v>
      </c>
      <c r="D72" s="89">
        <v>1163.2</v>
      </c>
      <c r="K72" s="87"/>
      <c r="AN72" s="86"/>
    </row>
    <row r="73" spans="1:40" x14ac:dyDescent="0.3">
      <c r="A73" s="90">
        <v>2017</v>
      </c>
      <c r="B73" s="89">
        <v>1645.1</v>
      </c>
      <c r="C73" s="89">
        <f t="shared" si="14"/>
        <v>511</v>
      </c>
      <c r="D73" s="89">
        <v>1134.0999999999999</v>
      </c>
      <c r="K73" s="87"/>
      <c r="AN73" s="86"/>
    </row>
    <row r="74" spans="1:40" x14ac:dyDescent="0.3">
      <c r="A74" s="90">
        <v>2018</v>
      </c>
      <c r="B74" s="89">
        <v>1081.4000000000001</v>
      </c>
      <c r="C74" s="89">
        <f t="shared" si="14"/>
        <v>54.800000000000182</v>
      </c>
      <c r="D74" s="89">
        <v>1026.5999999999999</v>
      </c>
    </row>
    <row r="75" spans="1:40" x14ac:dyDescent="0.3">
      <c r="A75" s="90">
        <v>2019</v>
      </c>
      <c r="B75" s="89">
        <v>861</v>
      </c>
      <c r="C75" s="89">
        <f t="shared" si="14"/>
        <v>0</v>
      </c>
      <c r="D75" s="89">
        <v>861</v>
      </c>
      <c r="K75" s="87"/>
      <c r="AN75" s="86"/>
    </row>
    <row r="76" spans="1:40" x14ac:dyDescent="0.3">
      <c r="A76" s="90">
        <v>2020</v>
      </c>
      <c r="B76" s="89">
        <v>0</v>
      </c>
      <c r="C76" s="89">
        <v>0</v>
      </c>
      <c r="D76" s="89">
        <v>0</v>
      </c>
      <c r="K76" s="87"/>
      <c r="AN76" s="86"/>
    </row>
    <row r="77" spans="1:40" ht="15.6" customHeight="1" x14ac:dyDescent="0.3">
      <c r="A77" s="90">
        <v>2021</v>
      </c>
      <c r="B77" s="89">
        <v>849.7</v>
      </c>
      <c r="C77" s="89">
        <v>0</v>
      </c>
      <c r="D77" s="89">
        <f>B77</f>
        <v>849.7</v>
      </c>
      <c r="K77" s="87"/>
      <c r="AN77" s="86"/>
    </row>
    <row r="78" spans="1:40" s="91" customFormat="1" ht="30" customHeight="1" x14ac:dyDescent="0.3">
      <c r="A78" s="90">
        <v>2022</v>
      </c>
      <c r="B78" s="89">
        <v>0</v>
      </c>
      <c r="C78" s="89">
        <f>B78-D78</f>
        <v>0</v>
      </c>
      <c r="D78" s="89">
        <v>0</v>
      </c>
      <c r="E78" s="88"/>
      <c r="F78" s="88"/>
      <c r="G78" s="93"/>
      <c r="H78" s="93"/>
      <c r="I78" s="93"/>
      <c r="J78" s="93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0" x14ac:dyDescent="0.3">
      <c r="A79" s="90">
        <v>2023</v>
      </c>
      <c r="B79" s="89">
        <v>0</v>
      </c>
      <c r="C79" s="89">
        <f>B79-D79</f>
        <v>0</v>
      </c>
      <c r="D79" s="89">
        <v>0</v>
      </c>
      <c r="K79" s="87"/>
      <c r="AN79" s="86"/>
    </row>
    <row r="80" spans="1:40" x14ac:dyDescent="0.3">
      <c r="K80" s="87"/>
      <c r="AN80" s="86"/>
    </row>
    <row r="81" spans="1:40" x14ac:dyDescent="0.3">
      <c r="K81" s="87"/>
      <c r="AN81" s="86"/>
    </row>
    <row r="82" spans="1:40" x14ac:dyDescent="0.3">
      <c r="B82" s="88" t="s">
        <v>131</v>
      </c>
      <c r="C82" s="88" t="s">
        <v>130</v>
      </c>
      <c r="E82" s="88" t="s">
        <v>129</v>
      </c>
      <c r="K82" s="87"/>
      <c r="AN82" s="86"/>
    </row>
    <row r="83" spans="1:40" x14ac:dyDescent="0.3">
      <c r="A83" s="86" t="s">
        <v>128</v>
      </c>
      <c r="B83" s="88">
        <f>SUM(B86:B95)</f>
        <v>34127.699999999997</v>
      </c>
      <c r="C83" s="88">
        <f>SUM(C86:C95)</f>
        <v>0</v>
      </c>
      <c r="E83" s="88">
        <f>SUM(E86:E95)</f>
        <v>0</v>
      </c>
      <c r="K83" s="87"/>
      <c r="AN83" s="86"/>
    </row>
    <row r="84" spans="1:40" x14ac:dyDescent="0.3">
      <c r="A84" s="236" t="s">
        <v>127</v>
      </c>
      <c r="B84" s="237" t="s">
        <v>126</v>
      </c>
      <c r="C84" s="238" t="s">
        <v>125</v>
      </c>
      <c r="D84" s="239"/>
      <c r="E84" s="240"/>
      <c r="K84" s="87"/>
      <c r="AN84" s="86"/>
    </row>
    <row r="85" spans="1:40" ht="31.2" x14ac:dyDescent="0.3">
      <c r="A85" s="236"/>
      <c r="B85" s="237"/>
      <c r="C85" s="133" t="s">
        <v>124</v>
      </c>
      <c r="D85" s="133"/>
      <c r="E85" s="133" t="s">
        <v>123</v>
      </c>
      <c r="F85" s="93"/>
      <c r="G85" s="88">
        <v>10060</v>
      </c>
      <c r="H85" s="88">
        <v>10060</v>
      </c>
      <c r="I85" s="88">
        <v>10060</v>
      </c>
      <c r="K85" s="87"/>
      <c r="AN85" s="86"/>
    </row>
    <row r="86" spans="1:40" x14ac:dyDescent="0.3">
      <c r="A86" s="90" t="s">
        <v>208</v>
      </c>
      <c r="B86" s="89">
        <v>3108.5</v>
      </c>
      <c r="C86" s="89" t="s">
        <v>209</v>
      </c>
      <c r="D86" s="89"/>
      <c r="E86" s="89"/>
      <c r="K86" s="87"/>
      <c r="AN86" s="86"/>
    </row>
    <row r="87" spans="1:40" x14ac:dyDescent="0.3">
      <c r="A87" s="90" t="s">
        <v>210</v>
      </c>
      <c r="B87" s="89">
        <v>3526.1</v>
      </c>
      <c r="C87" s="89" t="s">
        <v>209</v>
      </c>
      <c r="D87" s="89"/>
      <c r="E87" s="89"/>
      <c r="K87" s="87"/>
      <c r="AN87" s="86"/>
    </row>
    <row r="88" spans="1:40" x14ac:dyDescent="0.3">
      <c r="A88" s="90" t="s">
        <v>211</v>
      </c>
      <c r="B88" s="89">
        <v>3795.2</v>
      </c>
      <c r="C88" s="89" t="s">
        <v>209</v>
      </c>
      <c r="D88" s="89"/>
      <c r="E88" s="89"/>
    </row>
    <row r="89" spans="1:40" x14ac:dyDescent="0.3">
      <c r="A89" s="90" t="s">
        <v>212</v>
      </c>
      <c r="B89" s="89">
        <v>3489.5</v>
      </c>
      <c r="C89" s="89" t="s">
        <v>209</v>
      </c>
      <c r="D89" s="89"/>
      <c r="E89" s="89"/>
    </row>
    <row r="90" spans="1:40" x14ac:dyDescent="0.3">
      <c r="A90" s="90" t="s">
        <v>213</v>
      </c>
      <c r="B90" s="89">
        <v>3042.7</v>
      </c>
      <c r="C90" s="89" t="s">
        <v>209</v>
      </c>
      <c r="D90" s="89"/>
      <c r="E90" s="89"/>
    </row>
    <row r="91" spans="1:40" x14ac:dyDescent="0.3">
      <c r="A91" s="90" t="s">
        <v>214</v>
      </c>
      <c r="B91" s="89">
        <v>3135.6</v>
      </c>
      <c r="C91" s="89" t="s">
        <v>209</v>
      </c>
      <c r="D91" s="89"/>
      <c r="E91" s="89"/>
    </row>
    <row r="92" spans="1:40" x14ac:dyDescent="0.3">
      <c r="A92" s="90" t="s">
        <v>215</v>
      </c>
      <c r="B92" s="89">
        <v>3557.7</v>
      </c>
      <c r="C92" s="89" t="s">
        <v>209</v>
      </c>
      <c r="D92" s="89"/>
      <c r="E92" s="89"/>
    </row>
    <row r="93" spans="1:40" x14ac:dyDescent="0.3">
      <c r="A93" s="90" t="s">
        <v>216</v>
      </c>
      <c r="B93" s="89">
        <v>3490.8</v>
      </c>
      <c r="C93" s="89" t="s">
        <v>209</v>
      </c>
      <c r="D93" s="89"/>
      <c r="E93" s="89"/>
    </row>
    <row r="94" spans="1:40" x14ac:dyDescent="0.3">
      <c r="A94" s="90" t="s">
        <v>217</v>
      </c>
      <c r="B94" s="89">
        <v>3490.8</v>
      </c>
      <c r="C94" s="89" t="s">
        <v>209</v>
      </c>
      <c r="D94" s="89"/>
      <c r="E94" s="89"/>
    </row>
    <row r="95" spans="1:40" x14ac:dyDescent="0.3">
      <c r="A95" s="90" t="s">
        <v>218</v>
      </c>
      <c r="B95" s="89">
        <v>3490.8</v>
      </c>
      <c r="C95" s="89" t="s">
        <v>209</v>
      </c>
      <c r="D95" s="89"/>
      <c r="E95" s="89"/>
    </row>
  </sheetData>
  <mergeCells count="21">
    <mergeCell ref="C3:E3"/>
    <mergeCell ref="B3:B4"/>
    <mergeCell ref="A3:A4"/>
    <mergeCell ref="B16:D16"/>
    <mergeCell ref="A19:A20"/>
    <mergeCell ref="B19:B20"/>
    <mergeCell ref="C19:E19"/>
    <mergeCell ref="A84:A85"/>
    <mergeCell ref="B84:B85"/>
    <mergeCell ref="C84:E84"/>
    <mergeCell ref="B32:D32"/>
    <mergeCell ref="A35:A36"/>
    <mergeCell ref="B35:B36"/>
    <mergeCell ref="C35:E35"/>
    <mergeCell ref="A48:D48"/>
    <mergeCell ref="A51:A52"/>
    <mergeCell ref="B51:B52"/>
    <mergeCell ref="A65:D65"/>
    <mergeCell ref="A68:A69"/>
    <mergeCell ref="B68:B69"/>
    <mergeCell ref="C68:D6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3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147</v>
      </c>
    </row>
    <row r="2" spans="1:10" x14ac:dyDescent="0.3">
      <c r="A2" t="s">
        <v>144</v>
      </c>
      <c r="B2">
        <v>280</v>
      </c>
      <c r="C2">
        <v>5000</v>
      </c>
      <c r="D2" s="103">
        <v>772800</v>
      </c>
      <c r="E2" s="100">
        <v>772.8</v>
      </c>
    </row>
    <row r="3" spans="1:10" x14ac:dyDescent="0.3">
      <c r="A3" t="s">
        <v>145</v>
      </c>
      <c r="B3">
        <v>111</v>
      </c>
      <c r="C3">
        <v>5000</v>
      </c>
      <c r="D3" s="103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146</v>
      </c>
      <c r="B4">
        <f>1245-B3-B2</f>
        <v>854</v>
      </c>
      <c r="C4">
        <v>5000</v>
      </c>
      <c r="D4" s="103">
        <v>4802945.08</v>
      </c>
      <c r="E4" s="100">
        <v>4802.8999999999996</v>
      </c>
    </row>
    <row r="5" spans="1:10" x14ac:dyDescent="0.3">
      <c r="B5">
        <f>SUM(B2:B4)</f>
        <v>1245</v>
      </c>
      <c r="D5" s="103">
        <f>SUM(D2:D4)</f>
        <v>6079745.0800000001</v>
      </c>
      <c r="E5" s="100">
        <f>SUM(E2:E4)</f>
        <v>6080</v>
      </c>
    </row>
    <row r="6" spans="1:10" x14ac:dyDescent="0.3">
      <c r="D6" s="103">
        <v>254.92</v>
      </c>
    </row>
    <row r="7" spans="1:10" x14ac:dyDescent="0.3">
      <c r="D7" s="103">
        <f>SUM(D5:D6)</f>
        <v>6080000</v>
      </c>
    </row>
    <row r="8" spans="1:10" x14ac:dyDescent="0.3">
      <c r="I8" t="s">
        <v>152</v>
      </c>
      <c r="J8" t="s">
        <v>153</v>
      </c>
    </row>
    <row r="9" spans="1:10" x14ac:dyDescent="0.3">
      <c r="C9">
        <f>D10/D9</f>
        <v>0.17778806086625831</v>
      </c>
      <c r="D9" s="103">
        <v>5162219.08</v>
      </c>
      <c r="E9" s="103">
        <f>D2-F9</f>
        <v>47840</v>
      </c>
      <c r="F9" s="103">
        <v>724960</v>
      </c>
      <c r="G9" t="s">
        <v>149</v>
      </c>
      <c r="H9" t="s">
        <v>156</v>
      </c>
      <c r="I9" s="103">
        <f>-F9-F10-E9-E10</f>
        <v>-1277054.92</v>
      </c>
      <c r="J9" s="103">
        <f>-F11-E11</f>
        <v>-4802945.08</v>
      </c>
    </row>
    <row r="10" spans="1:10" x14ac:dyDescent="0.3">
      <c r="D10" s="103">
        <v>917780.92</v>
      </c>
      <c r="E10" s="103">
        <f>D3+D6-F10</f>
        <v>141950.91999999998</v>
      </c>
      <c r="F10" s="103">
        <v>362304</v>
      </c>
      <c r="G10" t="s">
        <v>151</v>
      </c>
      <c r="H10" t="s">
        <v>155</v>
      </c>
      <c r="I10" s="103">
        <f>F9+F10</f>
        <v>1087264</v>
      </c>
      <c r="J10" s="103">
        <f>F11</f>
        <v>4074955.08</v>
      </c>
    </row>
    <row r="11" spans="1:10" x14ac:dyDescent="0.3">
      <c r="E11" s="103">
        <f>D4-F11</f>
        <v>727990</v>
      </c>
      <c r="F11" s="103">
        <v>4074955.08</v>
      </c>
      <c r="G11" t="s">
        <v>150</v>
      </c>
      <c r="H11" t="s">
        <v>154</v>
      </c>
      <c r="J11" s="103">
        <f>E11+E10+E9</f>
        <v>917780.91999999993</v>
      </c>
    </row>
    <row r="12" spans="1:10" x14ac:dyDescent="0.3">
      <c r="D12" s="103">
        <f>SUM(D2:D3)+D6</f>
        <v>1277054.92</v>
      </c>
      <c r="E12" s="104">
        <f>SUM(E9:E11)</f>
        <v>917780.91999999993</v>
      </c>
      <c r="F12" s="104">
        <f>SUM(F9:F11)</f>
        <v>5162219.08</v>
      </c>
    </row>
    <row r="13" spans="1:10" x14ac:dyDescent="0.3">
      <c r="E13" s="103"/>
      <c r="F13" s="103"/>
    </row>
    <row r="14" spans="1:10" x14ac:dyDescent="0.3">
      <c r="E14" s="103"/>
      <c r="F14" s="103"/>
    </row>
    <row r="15" spans="1:10" x14ac:dyDescent="0.3">
      <c r="F15" t="s">
        <v>3</v>
      </c>
      <c r="G15" s="103" t="s">
        <v>160</v>
      </c>
      <c r="H15" t="s">
        <v>161</v>
      </c>
    </row>
    <row r="16" spans="1:10" x14ac:dyDescent="0.3">
      <c r="E16" t="s">
        <v>151</v>
      </c>
      <c r="F16" s="103">
        <v>11352028.529999999</v>
      </c>
      <c r="G16" s="103">
        <f>F16-F10</f>
        <v>10989724.529999999</v>
      </c>
      <c r="H16" s="103">
        <f>F10</f>
        <v>362304</v>
      </c>
    </row>
    <row r="17" spans="5:8" x14ac:dyDescent="0.3">
      <c r="E17" t="s">
        <v>149</v>
      </c>
      <c r="F17" s="103">
        <v>6435072.5499999998</v>
      </c>
      <c r="G17" s="103">
        <f>F17-F9</f>
        <v>5710112.5499999998</v>
      </c>
      <c r="H17" s="103">
        <f>F9</f>
        <v>724960</v>
      </c>
    </row>
    <row r="18" spans="5:8" x14ac:dyDescent="0.3">
      <c r="F18" s="103">
        <f>SUM(F16:F17)</f>
        <v>17787101.079999998</v>
      </c>
      <c r="G18" s="103">
        <f t="shared" ref="G18:H18" si="0">SUM(G16:G17)</f>
        <v>16699837.079999998</v>
      </c>
      <c r="H18" s="103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2021-08-26T06:56:08Z</dcterms:modified>
</cp:coreProperties>
</file>