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30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'План-реал'!$B$1:$L$128</definedName>
  </definedNames>
  <calcPr calcId="152511"/>
</workbook>
</file>

<file path=xl/calcChain.xml><?xml version="1.0" encoding="utf-8"?>
<calcChain xmlns="http://schemas.openxmlformats.org/spreadsheetml/2006/main">
  <c r="F130" i="1" l="1"/>
  <c r="G66" i="1" l="1"/>
  <c r="G72" i="1" s="1"/>
  <c r="G89" i="1" s="1"/>
  <c r="M89" i="1" s="1"/>
  <c r="G88" i="1"/>
  <c r="G51" i="1" l="1"/>
  <c r="G102" i="1"/>
  <c r="G101" i="1"/>
  <c r="G94" i="1"/>
  <c r="E41" i="4" l="1"/>
  <c r="C41" i="4"/>
  <c r="E40" i="4"/>
  <c r="C40" i="4"/>
  <c r="E39" i="4"/>
  <c r="D39" i="4"/>
  <c r="C39" i="4"/>
  <c r="I128" i="1"/>
  <c r="H128" i="1"/>
  <c r="G128" i="1"/>
  <c r="F128" i="1"/>
  <c r="I126" i="1"/>
  <c r="H126" i="1"/>
  <c r="G126" i="1"/>
  <c r="F126" i="1"/>
  <c r="I124" i="1"/>
  <c r="H124" i="1"/>
  <c r="G124" i="1"/>
  <c r="F88" i="1"/>
  <c r="I88" i="1"/>
  <c r="H88" i="1"/>
  <c r="F85" i="1" l="1"/>
  <c r="F87" i="1"/>
  <c r="F86" i="1"/>
  <c r="I89" i="1" l="1"/>
  <c r="H89" i="1"/>
  <c r="D30" i="4" l="1"/>
  <c r="F71" i="1" l="1"/>
  <c r="G17" i="5" l="1"/>
  <c r="H17" i="5"/>
  <c r="H16" i="5"/>
  <c r="G16" i="5"/>
  <c r="G18" i="5"/>
  <c r="H18" i="5"/>
  <c r="F18" i="5"/>
  <c r="N72" i="1" l="1"/>
  <c r="I82" i="1"/>
  <c r="H82" i="1"/>
  <c r="G82" i="1"/>
  <c r="F81" i="1"/>
  <c r="F80" i="1"/>
  <c r="F82" i="1" l="1"/>
  <c r="O49" i="1"/>
  <c r="N49" i="1"/>
  <c r="M49" i="1"/>
  <c r="E11" i="5" l="1"/>
  <c r="E9" i="5"/>
  <c r="I9" i="5" l="1"/>
  <c r="J11" i="5" l="1"/>
  <c r="J10" i="5"/>
  <c r="I10" i="5"/>
  <c r="E10" i="5"/>
  <c r="J9" i="5"/>
  <c r="C9" i="5"/>
  <c r="F12" i="5"/>
  <c r="E12" i="5" l="1"/>
  <c r="D12" i="5"/>
  <c r="D44" i="4" l="1"/>
  <c r="H97" i="1" l="1"/>
  <c r="I97" i="1"/>
  <c r="G103" i="1"/>
  <c r="H103" i="1"/>
  <c r="I103" i="1"/>
  <c r="F102" i="1"/>
  <c r="F101" i="1"/>
  <c r="F3" i="5"/>
  <c r="D7" i="5"/>
  <c r="D5" i="5"/>
  <c r="B5" i="5"/>
  <c r="B4" i="5"/>
  <c r="F103" i="1" l="1"/>
  <c r="I104" i="1"/>
  <c r="H104" i="1"/>
  <c r="G97" i="1"/>
  <c r="G104" i="1" s="1"/>
  <c r="B53" i="4" s="1"/>
  <c r="E5" i="5"/>
  <c r="G53" i="1" l="1"/>
  <c r="N53" i="1" s="1"/>
  <c r="E25" i="4"/>
  <c r="C25" i="4"/>
  <c r="I66" i="1"/>
  <c r="H66" i="1"/>
  <c r="F70" i="1"/>
  <c r="M22" i="4"/>
  <c r="N22" i="4"/>
  <c r="L18" i="4"/>
  <c r="L22" i="4" s="1"/>
  <c r="L25" i="4" s="1"/>
  <c r="I22" i="4"/>
  <c r="J22" i="4"/>
  <c r="H22" i="4"/>
  <c r="F52" i="1"/>
  <c r="B39" i="4" l="1"/>
  <c r="C11" i="4"/>
  <c r="O72" i="1"/>
  <c r="I72" i="1"/>
  <c r="C12" i="4"/>
  <c r="C27" i="4"/>
  <c r="E27" i="4"/>
  <c r="E26" i="4"/>
  <c r="C26" i="4"/>
  <c r="D25" i="4"/>
  <c r="D16" i="4" s="1"/>
  <c r="C13" i="4"/>
  <c r="E13" i="4"/>
  <c r="E11" i="4"/>
  <c r="I130" i="1"/>
  <c r="D11" i="4"/>
  <c r="C5" i="4"/>
  <c r="C6" i="4"/>
  <c r="C7" i="4"/>
  <c r="C8" i="4"/>
  <c r="C9" i="4"/>
  <c r="E10" i="4"/>
  <c r="C19" i="4"/>
  <c r="C20" i="4"/>
  <c r="C21" i="4"/>
  <c r="C22" i="4"/>
  <c r="C23" i="4"/>
  <c r="C24" i="4"/>
  <c r="C33" i="4"/>
  <c r="C34" i="4"/>
  <c r="C35" i="4"/>
  <c r="C36" i="4"/>
  <c r="C37" i="4"/>
  <c r="C38" i="4"/>
  <c r="B44" i="4"/>
  <c r="E44" i="4"/>
  <c r="C47" i="4"/>
  <c r="C48" i="4"/>
  <c r="C49" i="4"/>
  <c r="C50" i="4"/>
  <c r="C51" i="4"/>
  <c r="C52" i="4"/>
  <c r="C53" i="4"/>
  <c r="C54" i="4"/>
  <c r="C55" i="4"/>
  <c r="B58" i="4"/>
  <c r="E58" i="4"/>
  <c r="C61" i="4"/>
  <c r="C62" i="4"/>
  <c r="C63" i="4"/>
  <c r="C64" i="4"/>
  <c r="C65" i="4"/>
  <c r="C66" i="4"/>
  <c r="C67" i="4"/>
  <c r="C68" i="4"/>
  <c r="C69" i="4"/>
  <c r="B72" i="4"/>
  <c r="E72" i="4"/>
  <c r="C75" i="4"/>
  <c r="C76" i="4"/>
  <c r="C77" i="4"/>
  <c r="C78" i="4"/>
  <c r="C79" i="4"/>
  <c r="C80" i="4"/>
  <c r="C81" i="4"/>
  <c r="C82" i="4"/>
  <c r="C83" i="4"/>
  <c r="G130" i="1" l="1"/>
  <c r="C58" i="4"/>
  <c r="C72" i="4"/>
  <c r="C44" i="4"/>
  <c r="C30" i="4"/>
  <c r="C16" i="4"/>
  <c r="E16" i="4"/>
  <c r="D2" i="4"/>
  <c r="C10" i="4"/>
  <c r="C2" i="4" s="1"/>
  <c r="F50" i="1"/>
  <c r="F49" i="1"/>
  <c r="F48" i="1"/>
  <c r="F16" i="4" l="1"/>
  <c r="O67" i="1" l="1"/>
  <c r="I24" i="1" l="1"/>
  <c r="H24" i="1"/>
  <c r="G24" i="1"/>
  <c r="F69" i="1" l="1"/>
  <c r="I36" i="1"/>
  <c r="H36" i="1"/>
  <c r="G36" i="1"/>
  <c r="G28" i="1" l="1"/>
  <c r="F35" i="1" l="1"/>
  <c r="F36" i="1" s="1"/>
  <c r="I112" i="1"/>
  <c r="H112" i="1"/>
  <c r="G112" i="1"/>
  <c r="F68" i="1" l="1"/>
  <c r="F51" i="1" l="1"/>
  <c r="F47" i="1"/>
  <c r="H67" i="1" l="1"/>
  <c r="H72" i="1" l="1"/>
  <c r="F67" i="1"/>
  <c r="I76" i="1"/>
  <c r="B41" i="4" s="1"/>
  <c r="H76" i="1"/>
  <c r="G76" i="1"/>
  <c r="B40" i="4" l="1"/>
  <c r="F41" i="4"/>
  <c r="E12" i="4"/>
  <c r="H130" i="1"/>
  <c r="E30" i="4"/>
  <c r="F95" i="1"/>
  <c r="E2" i="4" l="1"/>
  <c r="F39" i="4"/>
  <c r="F110" i="1"/>
  <c r="F40" i="4" l="1"/>
  <c r="B30" i="4"/>
  <c r="F96" i="1"/>
  <c r="G32" i="1" l="1"/>
  <c r="F94" i="1" l="1"/>
  <c r="B25" i="4"/>
  <c r="F97" i="1" l="1"/>
  <c r="F104" i="1" s="1"/>
  <c r="F25" i="4"/>
  <c r="F46" i="1"/>
  <c r="F53" i="1" s="1"/>
  <c r="H53" i="1"/>
  <c r="B26" i="4" s="1"/>
  <c r="F26" i="4" s="1"/>
  <c r="H32" i="1"/>
  <c r="I53" i="1"/>
  <c r="B27" i="4" s="1"/>
  <c r="F27" i="4" s="1"/>
  <c r="B16" i="4" l="1"/>
  <c r="G16" i="4" s="1"/>
  <c r="F66" i="1"/>
  <c r="F72" i="1" s="1"/>
  <c r="F89" i="1" s="1"/>
  <c r="F22" i="1"/>
  <c r="F20" i="1"/>
  <c r="F21" i="1"/>
  <c r="F124" i="1" l="1"/>
  <c r="G119" i="1"/>
  <c r="G120" i="1" s="1"/>
  <c r="B11" i="4" s="1"/>
  <c r="F27" i="1"/>
  <c r="H119" i="1"/>
  <c r="F111" i="1"/>
  <c r="F75" i="1"/>
  <c r="F76" i="1" s="1"/>
  <c r="F31" i="1"/>
  <c r="F23" i="1"/>
  <c r="F24" i="1" s="1"/>
  <c r="F112" i="1" l="1"/>
  <c r="F28" i="1"/>
  <c r="F118" i="1"/>
  <c r="F11" i="4" l="1"/>
  <c r="H28" i="1"/>
  <c r="I119" i="1"/>
  <c r="I32" i="1"/>
  <c r="H120" i="1" l="1"/>
  <c r="B12" i="4" s="1"/>
  <c r="F12" i="4" s="1"/>
  <c r="F119" i="1"/>
  <c r="I28" i="1"/>
  <c r="F32" i="1"/>
  <c r="F120" i="1" s="1"/>
  <c r="I120" i="1" l="1"/>
  <c r="B13" i="4" s="1"/>
  <c r="F13" i="4" l="1"/>
  <c r="B2" i="4"/>
</calcChain>
</file>

<file path=xl/sharedStrings.xml><?xml version="1.0" encoding="utf-8"?>
<sst xmlns="http://schemas.openxmlformats.org/spreadsheetml/2006/main" count="385" uniqueCount="230">
  <si>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</si>
  <si>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</si>
  <si>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</si>
  <si>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</si>
  <si>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</si>
  <si>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</si>
  <si>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</si>
  <si>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</si>
  <si>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</si>
  <si>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</si>
  <si>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</si>
  <si>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</si>
  <si>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</si>
  <si>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</si>
  <si>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</si>
  <si>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</si>
  <si>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</si>
  <si>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</si>
  <si>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</si>
  <si>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</si>
  <si>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</si>
  <si>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</si>
  <si>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</si>
  <si>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</si>
  <si>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</si>
  <si>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</si>
  <si>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</si>
  <si>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</si>
  <si>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</si>
  <si>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</si>
  <si>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</si>
  <si>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</si>
  <si>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</si>
  <si>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</si>
  <si>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</si>
  <si>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</si>
  <si>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</si>
  <si>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</si>
  <si>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</si>
  <si>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</si>
  <si>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</si>
  <si>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</si>
  <si>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</si>
  <si>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</si>
  <si>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</si>
  <si>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</si>
  <si>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</si>
  <si>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</si>
  <si>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</si>
  <si>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</si>
  <si>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</si>
  <si>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</si>
  <si>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</si>
  <si>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</si>
  <si>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</si>
  <si>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</si>
  <si>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</si>
  <si>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</si>
  <si>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</si>
  <si>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</si>
  <si>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</si>
  <si>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</si>
  <si>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</si>
  <si>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3.4</t>
  </si>
  <si>
    <t>3.5</t>
  </si>
  <si>
    <t>3.6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</si>
  <si>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</si>
  <si>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</si>
  <si>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</si>
  <si>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</si>
  <si>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</si>
  <si>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</si>
  <si>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</si>
  <si>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</si>
  <si>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</si>
  <si>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</si>
  <si>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</si>
  <si>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</si>
  <si>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</si>
  <si>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</si>
  <si>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</si>
  <si>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</si>
  <si>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</si>
  <si>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</si>
  <si>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</si>
  <si>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</si>
  <si>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</si>
  <si>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</si>
  <si>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</si>
  <si>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</si>
  <si>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</si>
  <si>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</si>
  <si>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</si>
  <si>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</si>
  <si>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</si>
  <si>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</si>
  <si>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</si>
  <si>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</si>
  <si>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</si>
  <si>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</si>
  <si>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</si>
  <si>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</si>
  <si>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</si>
  <si>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</si>
  <si>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</si>
  <si>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</si>
  <si>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</si>
  <si>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</si>
  <si>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</si>
  <si>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</si>
  <si>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+</t>
  </si>
  <si>
    <t>#215</t>
  </si>
  <si>
    <t>#203</t>
  </si>
  <si>
    <t>#210</t>
  </si>
  <si>
    <t>#214</t>
  </si>
  <si>
    <t>#205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</si>
  <si>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</si>
  <si>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</si>
  <si>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</si>
  <si>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</si>
  <si>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</si>
  <si>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</si>
  <si>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</si>
  <si>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</si>
  <si>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</si>
  <si>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</si>
  <si>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</si>
  <si>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</si>
  <si>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</si>
  <si>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</si>
  <si>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</si>
  <si>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</si>
  <si>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</si>
  <si>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</si>
  <si>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</si>
  <si>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</si>
  <si>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</si>
  <si>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</si>
  <si>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ПЛАН
реализации муниципальной программы 
«Развитие образования в муниципальном образовании «город Десногорск» Смоленской области»</t>
  </si>
  <si>
    <t>4.3.</t>
  </si>
  <si>
    <t>Расходы на обеспечение мер по повышению заработной платы педагогическим работникам муниципальных учреждений дополнительного образования детей</t>
  </si>
  <si>
    <t>очередной финансовый год (2020)</t>
  </si>
  <si>
    <t>1-й год планового периода (2021)</t>
  </si>
  <si>
    <t>2-й год планового периода (2022)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</si>
  <si>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</si>
  <si>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</si>
  <si>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</si>
  <si>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</si>
  <si>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2.8.</t>
  </si>
  <si>
    <t>Мероприятия государственной программы Российской Федерации "Доступная среда" (создание в образовательных условий для получения детьми-инвалидами качественного образования)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</si>
  <si>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</si>
  <si>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>Основное мероприятие 4 муниципальной программы: Организация и проведение культурно-массовых мероприятий для обучающихся и педагогов</t>
  </si>
  <si>
    <t>Количество обучающихся охваченных мероприятиями гражданско-патриотической и духовно нравственной направленности</t>
  </si>
  <si>
    <t>Расходы на организацию и проведение мероприятий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</si>
  <si>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</si>
  <si>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</si>
  <si>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2.9.</t>
  </si>
  <si>
    <t>3.13.</t>
  </si>
  <si>
    <t>3.14.</t>
  </si>
  <si>
    <t>Итого по основному мероприятию 4 муниципальной программы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</si>
  <si>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</si>
  <si>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</si>
  <si>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доля детей-инвалидов в возрасте от 5 до 18 лет, получающих дополнительное образование от общей численнности детей-инвалидов данного возраста (%)</t>
  </si>
  <si>
    <t>федеральный бюджет</t>
  </si>
  <si>
    <t>2.10.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</si>
  <si>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</si>
  <si>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</si>
  <si>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</si>
  <si>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</si>
  <si>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</si>
  <si>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</si>
  <si>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</si>
  <si>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</si>
  <si>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</si>
  <si>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</si>
  <si>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</si>
  <si>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</si>
  <si>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Обеспечение условий для функционирования центров цифрового и гуманитарного профилей (РП)</t>
  </si>
  <si>
    <t>САДЫ</t>
  </si>
  <si>
    <t>ШКОЛЫ</t>
  </si>
  <si>
    <t>от ______________ № ______</t>
  </si>
  <si>
    <t>Итого по основному мероприятию 1 подпрограммы 3</t>
  </si>
  <si>
    <t>3.15.</t>
  </si>
  <si>
    <t>4.4.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</si>
  <si>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</si>
  <si>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</si>
  <si>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</si>
  <si>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</si>
  <si>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</si>
  <si>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</si>
  <si>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Комитет по образованию г. Десногорска
Комитет по культуре, спорту и делам молодежи г. Десногорска
Муниципальные учреждения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</si>
  <si>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</si>
  <si>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</si>
  <si>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</si>
  <si>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</si>
  <si>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</si>
  <si>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</si>
  <si>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</si>
  <si>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</si>
  <si>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</si>
  <si>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</si>
  <si>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</si>
  <si>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</si>
  <si>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</si>
  <si>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</si>
  <si>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Приложение № 2 к постановлению Администрации муниципального образования «город Десногорск» Смоленской области </t>
  </si>
  <si>
    <t>ФБ</t>
  </si>
  <si>
    <t>ОБ</t>
  </si>
  <si>
    <t>МБ</t>
  </si>
  <si>
    <t>Доля педагогов, прошедших повышение квалицикации по предмету "Технология"</t>
  </si>
  <si>
    <t>3.16.</t>
  </si>
  <si>
    <t>Доля сотрудников центров, прошедших повышение квалификации</t>
  </si>
  <si>
    <t>3.17.</t>
  </si>
  <si>
    <t>Итого по основному мероприятию 3 подпрограммы 2</t>
  </si>
  <si>
    <t>МЗ</t>
  </si>
  <si>
    <t>ПФДОД</t>
  </si>
  <si>
    <t>Z</t>
  </si>
  <si>
    <t>Z3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</si>
  <si>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</si>
  <si>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Доля обучающихся, получающих начальное общее образование в муниципальных образовательных организацияях, обеспеченных бесплатным горячим питанием (%)</t>
  </si>
  <si>
    <t>Охват учащихся 5-11 классов общеобразовательных организаций горячим питанием</t>
  </si>
  <si>
    <t>S018+310ст.</t>
  </si>
  <si>
    <t>Основное мероприятие 3: обеспечение условий для функционирования центров образования цифрового и гуманитарного профилей "Точка роста"</t>
  </si>
  <si>
    <t>Итого по основному мероприятию 4 подпрограммы 2</t>
  </si>
  <si>
    <t>3.18.</t>
  </si>
  <si>
    <t>3.19.</t>
  </si>
  <si>
    <t>3.20.</t>
  </si>
  <si>
    <t>3.21.</t>
  </si>
  <si>
    <t>Доля обучающихся, получающих начальное общее образование в муниципальных образовательных организацияях, обеспеченных бесплатным горячим питанием</t>
  </si>
  <si>
    <t>Основное мероприятие 4: обеспечение бесплатным горячим питанием обучающихся в муниципальных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</si>
</sst>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14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3" fillId="0" borderId="1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/>
    <xf numFmtId="0" fontId="1" fillId="0" borderId="0" xfId="0" applyFont="1" applyFill="1" applyAlignment="1">
      <alignment horizontal="left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6" fillId="0" borderId="27" xfId="0" applyNumberFormat="1" applyFont="1" applyBorder="1" applyAlignment="1"/>
    <xf numFmtId="164" fontId="6" fillId="0" borderId="37" xfId="0" applyNumberFormat="1" applyFont="1" applyBorder="1" applyAlignment="1"/>
    <xf numFmtId="4" fontId="0" fillId="0" borderId="0" xfId="0" applyNumberFormat="1"/>
    <xf numFmtId="4" fontId="0" fillId="2" borderId="0" xfId="0" applyNumberFormat="1" applyFill="1"/>
    <xf numFmtId="0" fontId="1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1"/>
  <sheetViews>
    <sheetView tabSelected="1" view="pageBreakPreview" topLeftCell="A62" zoomScale="60" zoomScaleNormal="60" workbookViewId="0">
      <selection activeCell="G71" activeCellId="1" sqref="G66 G71"/>
    </sheetView>
  </sheetViews>
  <sheetFormatPr defaultColWidth="9.1796875" defaultRowHeight="18" x14ac:dyDescent="0.4"/>
  <cols>
    <col min="1" max="1" width="8.453125" style="1" customWidth="1"/>
    <col min="2" max="2" width="7.453125" style="1" customWidth="1"/>
    <col min="3" max="3" width="69.1796875" style="1" customWidth="1"/>
    <col min="4" max="4" width="27.1796875" style="1" customWidth="1"/>
    <col min="5" max="5" width="22.1796875" style="1" customWidth="1"/>
    <col min="6" max="12" width="17.1796875" style="1" customWidth="1"/>
    <col min="13" max="13" width="12.1796875" style="1" bestFit="1" customWidth="1"/>
    <col min="14" max="14" width="12.08984375" style="1" bestFit="1" customWidth="1"/>
    <col min="15" max="15" width="10.7265625" style="1" bestFit="1" customWidth="1"/>
    <col min="16" max="16384" width="9.1796875" style="1"/>
  </cols>
  <sheetData>
    <row r="2" spans="2:12" ht="55.5" customHeight="1" x14ac:dyDescent="0.4">
      <c r="I2" s="169" t="s">
        <v>205</v>
      </c>
      <c r="J2" s="169"/>
      <c r="K2" s="169"/>
      <c r="L2" s="169"/>
    </row>
    <row r="3" spans="2:12" ht="20.25" customHeight="1" x14ac:dyDescent="0.4">
      <c r="I3" s="170" t="s">
        <v>180</v>
      </c>
      <c r="J3" s="170"/>
      <c r="K3" s="170"/>
    </row>
    <row r="4" spans="2:12" ht="20.25" customHeight="1" x14ac:dyDescent="0.4">
      <c r="I4" s="109"/>
      <c r="J4" s="109"/>
      <c r="K4" s="109"/>
    </row>
    <row r="5" spans="2:12" ht="61.5" customHeight="1" x14ac:dyDescent="0.4">
      <c r="I5" s="174" t="s">
        <v>137</v>
      </c>
      <c r="J5" s="174"/>
      <c r="K5" s="174"/>
      <c r="L5" s="174"/>
    </row>
    <row r="6" spans="2:12" ht="20.25" customHeight="1" x14ac:dyDescent="0.4">
      <c r="I6" s="170"/>
      <c r="J6" s="170"/>
      <c r="K6" s="170"/>
    </row>
    <row r="7" spans="2:12" x14ac:dyDescent="0.4">
      <c r="I7" s="76"/>
      <c r="J7" s="76"/>
      <c r="K7" s="76"/>
    </row>
    <row r="8" spans="2:12" ht="63" customHeight="1" x14ac:dyDescent="0.4">
      <c r="I8" s="174"/>
      <c r="J8" s="174"/>
      <c r="K8" s="174"/>
      <c r="L8" s="174"/>
    </row>
    <row r="9" spans="2:12" ht="62.15" customHeight="1" x14ac:dyDescent="0.4">
      <c r="C9" s="233" t="s">
        <v>138</v>
      </c>
      <c r="D9" s="233"/>
      <c r="E9" s="233"/>
      <c r="F9" s="233"/>
      <c r="G9" s="233"/>
      <c r="H9" s="233"/>
      <c r="I9" s="233"/>
      <c r="J9" s="233"/>
      <c r="K9" s="233"/>
      <c r="L9" s="233"/>
    </row>
    <row r="10" spans="2:12" ht="18.5" thickBot="1" x14ac:dyDescent="0.45"/>
    <row r="11" spans="2:12" ht="59.5" customHeight="1" x14ac:dyDescent="0.4">
      <c r="B11" s="219" t="s">
        <v>0</v>
      </c>
      <c r="C11" s="221" t="s">
        <v>1</v>
      </c>
      <c r="D11" s="223" t="s">
        <v>2</v>
      </c>
      <c r="E11" s="225" t="s">
        <v>101</v>
      </c>
      <c r="F11" s="227" t="s">
        <v>132</v>
      </c>
      <c r="G11" s="227"/>
      <c r="H11" s="227"/>
      <c r="I11" s="227"/>
      <c r="J11" s="223" t="s">
        <v>83</v>
      </c>
      <c r="K11" s="223"/>
      <c r="L11" s="228"/>
    </row>
    <row r="12" spans="2:12" ht="72.5" thickBot="1" x14ac:dyDescent="0.45">
      <c r="B12" s="220"/>
      <c r="C12" s="222"/>
      <c r="D12" s="224"/>
      <c r="E12" s="226"/>
      <c r="F12" s="65" t="s">
        <v>3</v>
      </c>
      <c r="G12" s="66" t="s">
        <v>141</v>
      </c>
      <c r="H12" s="66" t="s">
        <v>142</v>
      </c>
      <c r="I12" s="66" t="s">
        <v>143</v>
      </c>
      <c r="J12" s="82" t="s">
        <v>141</v>
      </c>
      <c r="K12" s="82" t="s">
        <v>142</v>
      </c>
      <c r="L12" s="82" t="s">
        <v>143</v>
      </c>
    </row>
    <row r="13" spans="2:12" x14ac:dyDescent="0.4">
      <c r="B13" s="25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42">
        <v>11</v>
      </c>
    </row>
    <row r="14" spans="2:12" ht="39.65" customHeight="1" x14ac:dyDescent="0.4">
      <c r="B14" s="215" t="s">
        <v>133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7"/>
    </row>
    <row r="15" spans="2:12" x14ac:dyDescent="0.4">
      <c r="B15" s="194" t="s">
        <v>4</v>
      </c>
      <c r="C15" s="195"/>
      <c r="D15" s="195"/>
      <c r="E15" s="195"/>
      <c r="F15" s="195"/>
      <c r="G15" s="195"/>
      <c r="H15" s="195"/>
      <c r="I15" s="218"/>
      <c r="J15" s="218"/>
      <c r="K15" s="195"/>
      <c r="L15" s="196"/>
    </row>
    <row r="16" spans="2:12" ht="36" x14ac:dyDescent="0.4">
      <c r="B16" s="7" t="s">
        <v>5</v>
      </c>
      <c r="C16" s="70" t="s">
        <v>66</v>
      </c>
      <c r="D16" s="201" t="s">
        <v>60</v>
      </c>
      <c r="E16" s="70" t="s">
        <v>28</v>
      </c>
      <c r="F16" s="3"/>
      <c r="G16" s="3"/>
      <c r="H16" s="3"/>
      <c r="I16" s="3"/>
      <c r="J16" s="4">
        <v>21</v>
      </c>
      <c r="K16" s="4">
        <v>21</v>
      </c>
      <c r="L16" s="43">
        <v>23</v>
      </c>
    </row>
    <row r="17" spans="1:12" ht="36" x14ac:dyDescent="0.4">
      <c r="B17" s="7" t="s">
        <v>7</v>
      </c>
      <c r="C17" s="70" t="s">
        <v>10</v>
      </c>
      <c r="D17" s="202"/>
      <c r="E17" s="70" t="s">
        <v>28</v>
      </c>
      <c r="F17" s="3"/>
      <c r="G17" s="3"/>
      <c r="H17" s="3"/>
      <c r="I17" s="3"/>
      <c r="J17" s="4">
        <v>18</v>
      </c>
      <c r="K17" s="4">
        <v>18</v>
      </c>
      <c r="L17" s="71">
        <v>19</v>
      </c>
    </row>
    <row r="18" spans="1:12" ht="36" x14ac:dyDescent="0.4">
      <c r="B18" s="7" t="s">
        <v>8</v>
      </c>
      <c r="C18" s="70" t="s">
        <v>15</v>
      </c>
      <c r="D18" s="202"/>
      <c r="E18" s="70" t="s">
        <v>28</v>
      </c>
      <c r="F18" s="3"/>
      <c r="G18" s="3"/>
      <c r="H18" s="3"/>
      <c r="I18" s="3"/>
      <c r="J18" s="4">
        <v>36</v>
      </c>
      <c r="K18" s="4">
        <v>38</v>
      </c>
      <c r="L18" s="43">
        <v>40</v>
      </c>
    </row>
    <row r="19" spans="1:12" ht="95.15" customHeight="1" x14ac:dyDescent="0.4">
      <c r="B19" s="7" t="s">
        <v>9</v>
      </c>
      <c r="C19" s="70" t="s">
        <v>16</v>
      </c>
      <c r="D19" s="202"/>
      <c r="E19" s="70" t="s">
        <v>28</v>
      </c>
      <c r="F19" s="3"/>
      <c r="G19" s="3"/>
      <c r="H19" s="3"/>
      <c r="I19" s="3"/>
      <c r="J19" s="4">
        <v>13</v>
      </c>
      <c r="K19" s="4">
        <v>13</v>
      </c>
      <c r="L19" s="43">
        <v>13</v>
      </c>
    </row>
    <row r="20" spans="1:12" ht="36" x14ac:dyDescent="0.4">
      <c r="A20" s="1" t="s">
        <v>114</v>
      </c>
      <c r="B20" s="7" t="s">
        <v>11</v>
      </c>
      <c r="C20" s="70" t="s">
        <v>91</v>
      </c>
      <c r="D20" s="202"/>
      <c r="E20" s="70" t="s">
        <v>29</v>
      </c>
      <c r="F20" s="31">
        <f>G20+H20+I20</f>
        <v>5981.1</v>
      </c>
      <c r="G20" s="31">
        <v>1993.7</v>
      </c>
      <c r="H20" s="31">
        <v>1993.7</v>
      </c>
      <c r="I20" s="31">
        <v>1993.7</v>
      </c>
      <c r="J20" s="4"/>
      <c r="K20" s="4"/>
      <c r="L20" s="43"/>
    </row>
    <row r="21" spans="1:12" ht="36" x14ac:dyDescent="0.4">
      <c r="A21" s="1" t="s">
        <v>111</v>
      </c>
      <c r="B21" s="7" t="s">
        <v>12</v>
      </c>
      <c r="C21" s="70" t="s">
        <v>92</v>
      </c>
      <c r="D21" s="229"/>
      <c r="E21" s="70" t="s">
        <v>29</v>
      </c>
      <c r="F21" s="31">
        <f>G21+H21+I21</f>
        <v>2427.3000000000002</v>
      </c>
      <c r="G21" s="31">
        <v>809.1</v>
      </c>
      <c r="H21" s="31">
        <v>809.1</v>
      </c>
      <c r="I21" s="31">
        <v>809.1</v>
      </c>
      <c r="J21" s="4"/>
      <c r="K21" s="4"/>
      <c r="L21" s="43"/>
    </row>
    <row r="22" spans="1:12" ht="36" x14ac:dyDescent="0.4">
      <c r="A22" s="1" t="s">
        <v>115</v>
      </c>
      <c r="B22" s="7" t="s">
        <v>13</v>
      </c>
      <c r="C22" s="70" t="s">
        <v>93</v>
      </c>
      <c r="D22" s="201" t="s">
        <v>6</v>
      </c>
      <c r="E22" s="70" t="s">
        <v>29</v>
      </c>
      <c r="F22" s="31">
        <f t="shared" ref="F22:F23" si="0">G22+H22+I22</f>
        <v>13386</v>
      </c>
      <c r="G22" s="31">
        <v>4462</v>
      </c>
      <c r="H22" s="31">
        <v>4462</v>
      </c>
      <c r="I22" s="31">
        <v>4462</v>
      </c>
      <c r="J22" s="4"/>
      <c r="K22" s="4"/>
      <c r="L22" s="43"/>
    </row>
    <row r="23" spans="1:12" ht="93" customHeight="1" thickBot="1" x14ac:dyDescent="0.45">
      <c r="A23" s="1" t="s">
        <v>113</v>
      </c>
      <c r="B23" s="5" t="s">
        <v>14</v>
      </c>
      <c r="C23" s="68" t="s">
        <v>94</v>
      </c>
      <c r="D23" s="226"/>
      <c r="E23" s="68" t="s">
        <v>29</v>
      </c>
      <c r="F23" s="33">
        <f t="shared" si="0"/>
        <v>5566.5</v>
      </c>
      <c r="G23" s="33">
        <v>1855.5</v>
      </c>
      <c r="H23" s="33">
        <v>1855.5</v>
      </c>
      <c r="I23" s="33">
        <v>1855.5</v>
      </c>
      <c r="J23" s="44"/>
      <c r="K23" s="44"/>
      <c r="L23" s="45"/>
    </row>
    <row r="24" spans="1:12" ht="18.5" thickBot="1" x14ac:dyDescent="0.45">
      <c r="B24" s="156" t="s">
        <v>17</v>
      </c>
      <c r="C24" s="157"/>
      <c r="D24" s="12"/>
      <c r="E24" s="32" t="s">
        <v>29</v>
      </c>
      <c r="F24" s="34">
        <f>SUM(F20:F23)</f>
        <v>27360.9</v>
      </c>
      <c r="G24" s="35">
        <f t="shared" ref="G24:I24" si="1">SUM(G20:G23)</f>
        <v>9120.2999999999993</v>
      </c>
      <c r="H24" s="35">
        <f t="shared" si="1"/>
        <v>9120.2999999999993</v>
      </c>
      <c r="I24" s="36">
        <f t="shared" si="1"/>
        <v>9120.2999999999993</v>
      </c>
      <c r="J24" s="46"/>
      <c r="K24" s="47"/>
      <c r="L24" s="48"/>
    </row>
    <row r="25" spans="1:12" x14ac:dyDescent="0.4">
      <c r="B25" s="179" t="s">
        <v>18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1"/>
    </row>
    <row r="26" spans="1:12" ht="55" customHeight="1" x14ac:dyDescent="0.4">
      <c r="B26" s="7" t="s">
        <v>19</v>
      </c>
      <c r="C26" s="70" t="s">
        <v>23</v>
      </c>
      <c r="D26" s="201" t="s">
        <v>6</v>
      </c>
      <c r="E26" s="70" t="s">
        <v>28</v>
      </c>
      <c r="F26" s="3"/>
      <c r="G26" s="3"/>
      <c r="H26" s="3"/>
      <c r="I26" s="14"/>
      <c r="J26" s="4">
        <v>1</v>
      </c>
      <c r="K26" s="4">
        <v>1</v>
      </c>
      <c r="L26" s="43">
        <v>1</v>
      </c>
    </row>
    <row r="27" spans="1:12" ht="77.150000000000006" customHeight="1" thickBot="1" x14ac:dyDescent="0.45">
      <c r="A27" s="1" t="s">
        <v>112</v>
      </c>
      <c r="B27" s="7" t="s">
        <v>20</v>
      </c>
      <c r="C27" s="70" t="s">
        <v>24</v>
      </c>
      <c r="D27" s="226"/>
      <c r="E27" s="70" t="s">
        <v>29</v>
      </c>
      <c r="F27" s="33">
        <f t="shared" ref="F27" si="2">G27+H27+I27</f>
        <v>43.2</v>
      </c>
      <c r="G27" s="33">
        <v>14.4</v>
      </c>
      <c r="H27" s="33">
        <v>14.4</v>
      </c>
      <c r="I27" s="33">
        <v>14.4</v>
      </c>
      <c r="J27" s="4"/>
      <c r="K27" s="4"/>
      <c r="L27" s="43"/>
    </row>
    <row r="28" spans="1:12" ht="18.5" thickBot="1" x14ac:dyDescent="0.45">
      <c r="B28" s="156" t="s">
        <v>25</v>
      </c>
      <c r="C28" s="157"/>
      <c r="D28" s="12"/>
      <c r="E28" s="32" t="s">
        <v>29</v>
      </c>
      <c r="F28" s="34">
        <f>SUM(F27:F27)</f>
        <v>43.2</v>
      </c>
      <c r="G28" s="90">
        <f>SUM(G26:G27)</f>
        <v>14.4</v>
      </c>
      <c r="H28" s="56">
        <f>SUM(G28:G28)</f>
        <v>14.4</v>
      </c>
      <c r="I28" s="35">
        <f>SUM(H28:H28)</f>
        <v>14.4</v>
      </c>
      <c r="J28" s="47"/>
      <c r="K28" s="47"/>
      <c r="L28" s="48"/>
    </row>
    <row r="29" spans="1:12" x14ac:dyDescent="0.4">
      <c r="B29" s="182" t="s">
        <v>99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4"/>
    </row>
    <row r="30" spans="1:12" ht="36" x14ac:dyDescent="0.4">
      <c r="B30" s="7" t="s">
        <v>21</v>
      </c>
      <c r="C30" s="70" t="s">
        <v>26</v>
      </c>
      <c r="D30" s="201" t="s">
        <v>6</v>
      </c>
      <c r="E30" s="70" t="s">
        <v>28</v>
      </c>
      <c r="F30" s="3"/>
      <c r="G30" s="3"/>
      <c r="H30" s="3"/>
      <c r="I30" s="3"/>
      <c r="J30" s="4" t="s">
        <v>73</v>
      </c>
      <c r="K30" s="4" t="s">
        <v>73</v>
      </c>
      <c r="L30" s="43" t="s">
        <v>73</v>
      </c>
    </row>
    <row r="31" spans="1:12" ht="36.5" thickBot="1" x14ac:dyDescent="0.45">
      <c r="A31" s="1" t="s">
        <v>144</v>
      </c>
      <c r="B31" s="64" t="s">
        <v>22</v>
      </c>
      <c r="C31" s="66" t="s">
        <v>95</v>
      </c>
      <c r="D31" s="226"/>
      <c r="E31" s="66" t="s">
        <v>29</v>
      </c>
      <c r="F31" s="54">
        <f>G31+H31+I31</f>
        <v>4628</v>
      </c>
      <c r="G31" s="54">
        <v>1503.3</v>
      </c>
      <c r="H31" s="54">
        <v>1533.5</v>
      </c>
      <c r="I31" s="54">
        <v>1591.2</v>
      </c>
      <c r="J31" s="65"/>
      <c r="K31" s="65"/>
      <c r="L31" s="55"/>
    </row>
    <row r="32" spans="1:12" ht="36.5" thickBot="1" x14ac:dyDescent="0.45">
      <c r="B32" s="158" t="s">
        <v>27</v>
      </c>
      <c r="C32" s="159"/>
      <c r="D32" s="12"/>
      <c r="E32" s="12" t="s">
        <v>105</v>
      </c>
      <c r="F32" s="35">
        <f>G32+H32+I32</f>
        <v>4628</v>
      </c>
      <c r="G32" s="35">
        <f>G31</f>
        <v>1503.3</v>
      </c>
      <c r="H32" s="35">
        <f>H31</f>
        <v>1533.5</v>
      </c>
      <c r="I32" s="35">
        <f t="shared" ref="I32" si="3">I31</f>
        <v>1591.2</v>
      </c>
      <c r="J32" s="47"/>
      <c r="K32" s="47"/>
      <c r="L32" s="48"/>
    </row>
    <row r="33" spans="1:15" x14ac:dyDescent="0.4">
      <c r="B33" s="171" t="s">
        <v>151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3"/>
    </row>
    <row r="34" spans="1:15" ht="54" x14ac:dyDescent="0.4">
      <c r="B34" s="26" t="s">
        <v>135</v>
      </c>
      <c r="C34" s="26" t="s">
        <v>152</v>
      </c>
      <c r="D34" s="201" t="s">
        <v>6</v>
      </c>
      <c r="E34" s="89"/>
      <c r="F34" s="26"/>
      <c r="G34" s="26"/>
      <c r="H34" s="26"/>
      <c r="I34" s="26"/>
      <c r="J34" s="26">
        <v>3814</v>
      </c>
      <c r="K34" s="26">
        <v>3900</v>
      </c>
      <c r="L34" s="26">
        <v>3900</v>
      </c>
    </row>
    <row r="35" spans="1:15" ht="54.5" thickBot="1" x14ac:dyDescent="0.45">
      <c r="B35" s="88" t="s">
        <v>154</v>
      </c>
      <c r="C35" s="88" t="s">
        <v>153</v>
      </c>
      <c r="D35" s="226"/>
      <c r="E35" s="88" t="s">
        <v>32</v>
      </c>
      <c r="F35" s="88">
        <f>SUM(G35:I35)</f>
        <v>166.2</v>
      </c>
      <c r="G35" s="88">
        <v>55.4</v>
      </c>
      <c r="H35" s="88">
        <v>55.4</v>
      </c>
      <c r="I35" s="88">
        <v>55.4</v>
      </c>
      <c r="J35" s="88"/>
      <c r="K35" s="88"/>
      <c r="L35" s="88"/>
    </row>
    <row r="36" spans="1:15" ht="38.15" customHeight="1" thickBot="1" x14ac:dyDescent="0.45">
      <c r="B36" s="156" t="s">
        <v>159</v>
      </c>
      <c r="C36" s="157"/>
      <c r="D36" s="12"/>
      <c r="E36" s="32" t="s">
        <v>32</v>
      </c>
      <c r="F36" s="35">
        <f>F35</f>
        <v>166.2</v>
      </c>
      <c r="G36" s="35">
        <f>G35</f>
        <v>55.4</v>
      </c>
      <c r="H36" s="35">
        <f>H35</f>
        <v>55.4</v>
      </c>
      <c r="I36" s="56">
        <f>I35</f>
        <v>55.4</v>
      </c>
      <c r="J36" s="47"/>
      <c r="K36" s="47"/>
      <c r="L36" s="48"/>
    </row>
    <row r="37" spans="1:15" x14ac:dyDescent="0.4">
      <c r="B37" s="185" t="s">
        <v>30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7"/>
    </row>
    <row r="38" spans="1:15" x14ac:dyDescent="0.4">
      <c r="B38" s="175" t="s">
        <v>31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7"/>
    </row>
    <row r="39" spans="1:15" x14ac:dyDescent="0.4">
      <c r="B39" s="175" t="s">
        <v>67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7"/>
    </row>
    <row r="40" spans="1:15" ht="36" x14ac:dyDescent="0.4">
      <c r="B40" s="7" t="s">
        <v>33</v>
      </c>
      <c r="C40" s="26" t="s">
        <v>126</v>
      </c>
      <c r="D40" s="70" t="s">
        <v>28</v>
      </c>
      <c r="E40" s="70" t="s">
        <v>28</v>
      </c>
      <c r="F40" s="3"/>
      <c r="G40" s="3"/>
      <c r="H40" s="3"/>
      <c r="I40" s="3"/>
      <c r="J40" s="72">
        <v>1527</v>
      </c>
      <c r="K40" s="72">
        <v>1527</v>
      </c>
      <c r="L40" s="71">
        <v>1527</v>
      </c>
    </row>
    <row r="41" spans="1:15" ht="54" x14ac:dyDescent="0.4">
      <c r="B41" s="7" t="s">
        <v>34</v>
      </c>
      <c r="C41" s="26" t="s">
        <v>122</v>
      </c>
      <c r="D41" s="70" t="s">
        <v>28</v>
      </c>
      <c r="E41" s="70" t="s">
        <v>28</v>
      </c>
      <c r="F41" s="3"/>
      <c r="G41" s="3"/>
      <c r="H41" s="3"/>
      <c r="I41" s="3"/>
      <c r="J41" s="72">
        <v>1229</v>
      </c>
      <c r="K41" s="72">
        <v>1229</v>
      </c>
      <c r="L41" s="71">
        <v>1229</v>
      </c>
    </row>
    <row r="42" spans="1:15" ht="54" x14ac:dyDescent="0.4">
      <c r="B42" s="7" t="s">
        <v>35</v>
      </c>
      <c r="C42" s="26" t="s">
        <v>155</v>
      </c>
      <c r="D42" s="134" t="s">
        <v>28</v>
      </c>
      <c r="E42" s="134" t="s">
        <v>28</v>
      </c>
      <c r="F42" s="3"/>
      <c r="G42" s="3"/>
      <c r="H42" s="3"/>
      <c r="I42" s="3"/>
      <c r="J42" s="72">
        <v>100</v>
      </c>
      <c r="K42" s="72">
        <v>100</v>
      </c>
      <c r="L42" s="71">
        <v>100</v>
      </c>
    </row>
    <row r="43" spans="1:15" ht="54" x14ac:dyDescent="0.4">
      <c r="B43" s="7" t="s">
        <v>36</v>
      </c>
      <c r="C43" s="26" t="s">
        <v>162</v>
      </c>
      <c r="D43" s="134" t="s">
        <v>28</v>
      </c>
      <c r="E43" s="134" t="s">
        <v>28</v>
      </c>
      <c r="F43" s="3"/>
      <c r="G43" s="3"/>
      <c r="H43" s="3"/>
      <c r="I43" s="3"/>
      <c r="J43" s="72">
        <v>50</v>
      </c>
      <c r="K43" s="72">
        <v>50</v>
      </c>
      <c r="L43" s="71">
        <v>50</v>
      </c>
    </row>
    <row r="44" spans="1:15" ht="37.5" customHeight="1" x14ac:dyDescent="0.4">
      <c r="B44" s="7" t="s">
        <v>37</v>
      </c>
      <c r="C44" s="26" t="s">
        <v>123</v>
      </c>
      <c r="D44" s="70" t="s">
        <v>28</v>
      </c>
      <c r="E44" s="70" t="s">
        <v>28</v>
      </c>
      <c r="F44" s="3"/>
      <c r="G44" s="3"/>
      <c r="H44" s="3"/>
      <c r="I44" s="3"/>
      <c r="J44" s="72">
        <v>9.5</v>
      </c>
      <c r="K44" s="72">
        <v>9.5</v>
      </c>
      <c r="L44" s="71">
        <v>9.5</v>
      </c>
    </row>
    <row r="45" spans="1:15" ht="113.5" customHeight="1" x14ac:dyDescent="0.4">
      <c r="B45" s="41" t="s">
        <v>129</v>
      </c>
      <c r="C45" s="26" t="s">
        <v>124</v>
      </c>
      <c r="D45" s="70" t="s">
        <v>28</v>
      </c>
      <c r="E45" s="70" t="s">
        <v>28</v>
      </c>
      <c r="F45" s="3"/>
      <c r="G45" s="33"/>
      <c r="H45" s="3"/>
      <c r="I45" s="3"/>
      <c r="J45" s="72">
        <v>100</v>
      </c>
      <c r="K45" s="72">
        <v>100</v>
      </c>
      <c r="L45" s="71">
        <v>100</v>
      </c>
    </row>
    <row r="46" spans="1:15" ht="39.65" customHeight="1" x14ac:dyDescent="0.4">
      <c r="A46" s="1" t="s">
        <v>84</v>
      </c>
      <c r="B46" s="87" t="s">
        <v>147</v>
      </c>
      <c r="C46" s="70" t="s">
        <v>100</v>
      </c>
      <c r="D46" s="150" t="s">
        <v>136</v>
      </c>
      <c r="E46" s="70" t="s">
        <v>38</v>
      </c>
      <c r="F46" s="33">
        <f>G46+H46+I46</f>
        <v>216954.9</v>
      </c>
      <c r="G46" s="33">
        <v>75421.899999999994</v>
      </c>
      <c r="H46" s="33">
        <v>70765</v>
      </c>
      <c r="I46" s="33">
        <v>70768</v>
      </c>
      <c r="J46" s="4"/>
      <c r="K46" s="4"/>
      <c r="L46" s="43"/>
    </row>
    <row r="47" spans="1:15" ht="54.65" customHeight="1" x14ac:dyDescent="0.4">
      <c r="B47" s="41" t="s">
        <v>148</v>
      </c>
      <c r="C47" s="83" t="s">
        <v>85</v>
      </c>
      <c r="D47" s="151"/>
      <c r="E47" s="83" t="s">
        <v>96</v>
      </c>
      <c r="F47" s="33">
        <f>G47+H47+I47</f>
        <v>251964.5</v>
      </c>
      <c r="G47" s="33">
        <v>79492.5</v>
      </c>
      <c r="H47" s="33">
        <v>84559.2</v>
      </c>
      <c r="I47" s="33">
        <v>87912.8</v>
      </c>
      <c r="J47" s="44"/>
      <c r="K47" s="44"/>
      <c r="L47" s="45"/>
    </row>
    <row r="48" spans="1:15" ht="23.15" customHeight="1" x14ac:dyDescent="0.4">
      <c r="B48" s="203" t="s">
        <v>156</v>
      </c>
      <c r="C48" s="201" t="s">
        <v>149</v>
      </c>
      <c r="D48" s="151"/>
      <c r="E48" s="97" t="s">
        <v>38</v>
      </c>
      <c r="F48" s="33">
        <f t="shared" ref="F48:F50" si="4">G48+H48+I48</f>
        <v>2.1</v>
      </c>
      <c r="G48" s="33">
        <v>2.1</v>
      </c>
      <c r="H48" s="33"/>
      <c r="I48" s="33"/>
      <c r="J48" s="44"/>
      <c r="K48" s="44"/>
      <c r="L48" s="45"/>
      <c r="M48" s="1" t="s">
        <v>206</v>
      </c>
      <c r="N48" s="1" t="s">
        <v>207</v>
      </c>
      <c r="O48" s="1" t="s">
        <v>208</v>
      </c>
    </row>
    <row r="49" spans="2:15" ht="42" customHeight="1" x14ac:dyDescent="0.4">
      <c r="B49" s="204"/>
      <c r="C49" s="202"/>
      <c r="D49" s="151"/>
      <c r="E49" s="96" t="s">
        <v>160</v>
      </c>
      <c r="F49" s="33">
        <f t="shared" si="4"/>
        <v>1807.7</v>
      </c>
      <c r="G49" s="33">
        <v>1807.7</v>
      </c>
      <c r="H49" s="33"/>
      <c r="I49" s="33"/>
      <c r="J49" s="44"/>
      <c r="K49" s="44"/>
      <c r="L49" s="45"/>
      <c r="M49" s="73">
        <f>SUM(G49)</f>
        <v>1807.7</v>
      </c>
      <c r="N49" s="73">
        <f>SUM(G47,G50,G52)</f>
        <v>108745</v>
      </c>
      <c r="O49" s="73">
        <f>SUM(G46,G48,G51)</f>
        <v>79085</v>
      </c>
    </row>
    <row r="50" spans="2:15" ht="25.5" customHeight="1" x14ac:dyDescent="0.4">
      <c r="B50" s="234"/>
      <c r="C50" s="229"/>
      <c r="D50" s="151"/>
      <c r="E50" s="96" t="s">
        <v>96</v>
      </c>
      <c r="F50" s="33">
        <f t="shared" si="4"/>
        <v>270.10000000000002</v>
      </c>
      <c r="G50" s="33">
        <v>270.10000000000002</v>
      </c>
      <c r="H50" s="33"/>
      <c r="I50" s="33"/>
      <c r="J50" s="51"/>
      <c r="K50" s="51"/>
      <c r="L50" s="52"/>
    </row>
    <row r="51" spans="2:15" x14ac:dyDescent="0.4">
      <c r="B51" s="203" t="s">
        <v>164</v>
      </c>
      <c r="C51" s="201" t="s">
        <v>165</v>
      </c>
      <c r="D51" s="151"/>
      <c r="E51" s="84" t="s">
        <v>38</v>
      </c>
      <c r="F51" s="33">
        <f t="shared" ref="F51:F52" si="5">G51+H51+I51</f>
        <v>3661</v>
      </c>
      <c r="G51" s="33">
        <f>3320+341</f>
        <v>3661</v>
      </c>
      <c r="H51" s="33"/>
      <c r="I51" s="33"/>
      <c r="J51" s="44"/>
      <c r="K51" s="44"/>
      <c r="L51" s="45"/>
      <c r="M51" s="1" t="s">
        <v>221</v>
      </c>
    </row>
    <row r="52" spans="2:15" ht="18.5" thickBot="1" x14ac:dyDescent="0.45">
      <c r="B52" s="235"/>
      <c r="C52" s="226"/>
      <c r="D52" s="199"/>
      <c r="E52" s="98" t="s">
        <v>96</v>
      </c>
      <c r="F52" s="33">
        <f t="shared" si="5"/>
        <v>28982.400000000001</v>
      </c>
      <c r="G52" s="33">
        <v>28982.400000000001</v>
      </c>
      <c r="H52" s="33"/>
      <c r="I52" s="33"/>
      <c r="J52" s="51"/>
      <c r="K52" s="51"/>
      <c r="L52" s="52"/>
    </row>
    <row r="53" spans="2:15" ht="35.5" thickBot="1" x14ac:dyDescent="0.45">
      <c r="B53" s="156" t="s">
        <v>39</v>
      </c>
      <c r="C53" s="157"/>
      <c r="D53" s="8"/>
      <c r="E53" s="67" t="s">
        <v>40</v>
      </c>
      <c r="F53" s="61">
        <f>SUM(F46:F52)</f>
        <v>503642.7</v>
      </c>
      <c r="G53" s="35">
        <f>SUM(G46:G52)</f>
        <v>189637.7</v>
      </c>
      <c r="H53" s="35">
        <f>SUM(H46:H52)</f>
        <v>155324.20000000001</v>
      </c>
      <c r="I53" s="35">
        <f>SUM(I46:I52)</f>
        <v>158680.79999999999</v>
      </c>
      <c r="J53" s="62"/>
      <c r="K53" s="8"/>
      <c r="L53" s="50"/>
      <c r="M53" s="1">
        <v>189637.7</v>
      </c>
      <c r="N53" s="73">
        <f>G53-M53</f>
        <v>0</v>
      </c>
    </row>
    <row r="54" spans="2:15" x14ac:dyDescent="0.4">
      <c r="B54" s="205" t="s">
        <v>41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7"/>
    </row>
    <row r="55" spans="2:15" x14ac:dyDescent="0.4">
      <c r="B55" s="230" t="s">
        <v>104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2"/>
    </row>
    <row r="56" spans="2:15" x14ac:dyDescent="0.4">
      <c r="B56" s="175" t="s">
        <v>86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7"/>
    </row>
    <row r="57" spans="2:15" x14ac:dyDescent="0.4">
      <c r="B57" s="175"/>
      <c r="C57" s="176"/>
      <c r="D57" s="176"/>
      <c r="E57" s="176"/>
      <c r="F57" s="176"/>
      <c r="G57" s="176"/>
      <c r="H57" s="176"/>
      <c r="I57" s="176"/>
      <c r="J57" s="178"/>
      <c r="K57" s="176"/>
      <c r="L57" s="177"/>
    </row>
    <row r="58" spans="2:15" ht="72" x14ac:dyDescent="0.4">
      <c r="B58" s="13" t="s">
        <v>42</v>
      </c>
      <c r="C58" s="70" t="s">
        <v>68</v>
      </c>
      <c r="D58" s="70" t="s">
        <v>28</v>
      </c>
      <c r="E58" s="70" t="s">
        <v>28</v>
      </c>
      <c r="F58" s="3"/>
      <c r="G58" s="6"/>
      <c r="H58" s="6"/>
      <c r="I58" s="9"/>
      <c r="J58" s="4">
        <v>100</v>
      </c>
      <c r="K58" s="4">
        <v>100</v>
      </c>
      <c r="L58" s="43">
        <v>100</v>
      </c>
    </row>
    <row r="59" spans="2:15" ht="78.650000000000006" customHeight="1" x14ac:dyDescent="0.4">
      <c r="B59" s="27" t="s">
        <v>61</v>
      </c>
      <c r="C59" s="70" t="s">
        <v>70</v>
      </c>
      <c r="D59" s="70" t="s">
        <v>28</v>
      </c>
      <c r="E59" s="70" t="s">
        <v>28</v>
      </c>
      <c r="F59" s="3"/>
      <c r="G59" s="6"/>
      <c r="H59" s="6"/>
      <c r="I59" s="9"/>
      <c r="J59" s="72">
        <v>100</v>
      </c>
      <c r="K59" s="72">
        <v>100</v>
      </c>
      <c r="L59" s="71">
        <v>100</v>
      </c>
    </row>
    <row r="60" spans="2:15" ht="72" x14ac:dyDescent="0.4">
      <c r="B60" s="27" t="s">
        <v>62</v>
      </c>
      <c r="C60" s="70" t="s">
        <v>69</v>
      </c>
      <c r="D60" s="70" t="s">
        <v>28</v>
      </c>
      <c r="E60" s="70" t="s">
        <v>28</v>
      </c>
      <c r="F60" s="3"/>
      <c r="G60" s="6"/>
      <c r="H60" s="6"/>
      <c r="I60" s="9"/>
      <c r="J60" s="4">
        <v>0.5</v>
      </c>
      <c r="K60" s="4">
        <v>0.5</v>
      </c>
      <c r="L60" s="43">
        <v>0.5</v>
      </c>
    </row>
    <row r="61" spans="2:15" ht="72" x14ac:dyDescent="0.4">
      <c r="B61" s="27" t="s">
        <v>63</v>
      </c>
      <c r="C61" s="70" t="s">
        <v>43</v>
      </c>
      <c r="D61" s="70" t="s">
        <v>28</v>
      </c>
      <c r="E61" s="70" t="s">
        <v>28</v>
      </c>
      <c r="F61" s="3"/>
      <c r="G61" s="6"/>
      <c r="H61" s="6"/>
      <c r="I61" s="9"/>
      <c r="J61" s="4">
        <v>100</v>
      </c>
      <c r="K61" s="4">
        <v>100</v>
      </c>
      <c r="L61" s="43">
        <v>100</v>
      </c>
    </row>
    <row r="62" spans="2:15" ht="59" customHeight="1" x14ac:dyDescent="0.4">
      <c r="B62" s="27" t="s">
        <v>64</v>
      </c>
      <c r="C62" s="130" t="s">
        <v>219</v>
      </c>
      <c r="D62" s="130" t="s">
        <v>28</v>
      </c>
      <c r="E62" s="130" t="s">
        <v>28</v>
      </c>
      <c r="F62" s="3"/>
      <c r="G62" s="6"/>
      <c r="H62" s="6"/>
      <c r="I62" s="9"/>
      <c r="J62" s="4">
        <v>100</v>
      </c>
      <c r="K62" s="4">
        <v>100</v>
      </c>
      <c r="L62" s="43">
        <v>100</v>
      </c>
    </row>
    <row r="63" spans="2:15" ht="36" x14ac:dyDescent="0.4">
      <c r="B63" s="27" t="s">
        <v>65</v>
      </c>
      <c r="C63" s="70" t="s">
        <v>220</v>
      </c>
      <c r="D63" s="70" t="s">
        <v>28</v>
      </c>
      <c r="E63" s="70" t="s">
        <v>28</v>
      </c>
      <c r="F63" s="3"/>
      <c r="G63" s="6"/>
      <c r="H63" s="6"/>
      <c r="I63" s="9"/>
      <c r="J63" s="4">
        <v>23</v>
      </c>
      <c r="K63" s="4">
        <v>23</v>
      </c>
      <c r="L63" s="43">
        <v>23</v>
      </c>
    </row>
    <row r="64" spans="2:15" ht="36" x14ac:dyDescent="0.4">
      <c r="B64" s="24" t="s">
        <v>79</v>
      </c>
      <c r="C64" s="28" t="s">
        <v>134</v>
      </c>
      <c r="D64" s="70" t="s">
        <v>28</v>
      </c>
      <c r="E64" s="70" t="s">
        <v>28</v>
      </c>
      <c r="F64" s="3"/>
      <c r="G64" s="6"/>
      <c r="H64" s="6"/>
      <c r="I64" s="9"/>
      <c r="J64" s="4">
        <v>100</v>
      </c>
      <c r="K64" s="4">
        <v>100</v>
      </c>
      <c r="L64" s="43">
        <v>100</v>
      </c>
    </row>
    <row r="65" spans="1:15" ht="38.5" customHeight="1" x14ac:dyDescent="0.4">
      <c r="B65" s="24" t="s">
        <v>130</v>
      </c>
      <c r="C65" s="29" t="s">
        <v>80</v>
      </c>
      <c r="D65" s="70" t="s">
        <v>28</v>
      </c>
      <c r="E65" s="70" t="s">
        <v>28</v>
      </c>
      <c r="F65" s="3"/>
      <c r="G65" s="6"/>
      <c r="H65" s="6"/>
      <c r="I65" s="6"/>
      <c r="J65" s="4">
        <v>4</v>
      </c>
      <c r="K65" s="4">
        <v>4</v>
      </c>
      <c r="L65" s="43">
        <v>4</v>
      </c>
    </row>
    <row r="66" spans="1:15" ht="42.65" customHeight="1" x14ac:dyDescent="0.4">
      <c r="A66" s="1" t="s">
        <v>110</v>
      </c>
      <c r="B66" s="27" t="s">
        <v>131</v>
      </c>
      <c r="C66" s="70" t="s">
        <v>100</v>
      </c>
      <c r="D66" s="150" t="s">
        <v>45</v>
      </c>
      <c r="E66" s="70" t="s">
        <v>32</v>
      </c>
      <c r="F66" s="33">
        <f>G66+H66+I66</f>
        <v>57906.8</v>
      </c>
      <c r="G66" s="33">
        <f>21845.4-5.5</f>
        <v>21839.9</v>
      </c>
      <c r="H66" s="33">
        <f>18036.2-8.6</f>
        <v>18027.600000000002</v>
      </c>
      <c r="I66" s="33">
        <f>18108.1-57.7-11.1</f>
        <v>18039.3</v>
      </c>
      <c r="J66" s="10"/>
      <c r="K66" s="10"/>
      <c r="L66" s="49"/>
      <c r="M66" s="1" t="s">
        <v>216</v>
      </c>
    </row>
    <row r="67" spans="1:15" ht="76" customHeight="1" x14ac:dyDescent="0.4">
      <c r="B67" s="41" t="s">
        <v>145</v>
      </c>
      <c r="C67" s="81" t="s">
        <v>87</v>
      </c>
      <c r="D67" s="151"/>
      <c r="E67" s="81" t="s">
        <v>29</v>
      </c>
      <c r="F67" s="33">
        <f>G67+H67+I67</f>
        <v>354525.2</v>
      </c>
      <c r="G67" s="33">
        <v>112853.1</v>
      </c>
      <c r="H67" s="33">
        <f>124309.3-5487.5</f>
        <v>118821.8</v>
      </c>
      <c r="I67" s="33">
        <v>122850.3</v>
      </c>
      <c r="J67" s="51"/>
      <c r="K67" s="51"/>
      <c r="L67" s="52"/>
      <c r="M67" s="73" t="s">
        <v>217</v>
      </c>
      <c r="N67" s="73"/>
      <c r="O67" s="73" t="e">
        <f>J67+J68+#REF!+J75</f>
        <v>#REF!</v>
      </c>
    </row>
    <row r="68" spans="1:15" ht="78.650000000000006" customHeight="1" x14ac:dyDescent="0.4">
      <c r="B68" s="41" t="s">
        <v>98</v>
      </c>
      <c r="C68" s="86" t="s">
        <v>146</v>
      </c>
      <c r="D68" s="151"/>
      <c r="E68" s="86" t="s">
        <v>29</v>
      </c>
      <c r="F68" s="33">
        <f>G68+H68+I68</f>
        <v>17206.2</v>
      </c>
      <c r="G68" s="33">
        <v>1767.2</v>
      </c>
      <c r="H68" s="33">
        <v>6605.9</v>
      </c>
      <c r="I68" s="33">
        <v>8833.1</v>
      </c>
      <c r="J68" s="51"/>
      <c r="K68" s="51"/>
      <c r="L68" s="52"/>
    </row>
    <row r="69" spans="1:15" s="91" customFormat="1" ht="61" customHeight="1" x14ac:dyDescent="0.4">
      <c r="B69" s="92" t="s">
        <v>116</v>
      </c>
      <c r="C69" s="88" t="s">
        <v>150</v>
      </c>
      <c r="D69" s="151"/>
      <c r="E69" s="26" t="s">
        <v>32</v>
      </c>
      <c r="F69" s="93">
        <f>G69+H69+I69</f>
        <v>129.60000000000002</v>
      </c>
      <c r="G69" s="93"/>
      <c r="H69" s="93">
        <v>71.900000000000006</v>
      </c>
      <c r="I69" s="93">
        <v>57.7</v>
      </c>
      <c r="J69" s="94"/>
      <c r="K69" s="94"/>
      <c r="L69" s="95"/>
    </row>
    <row r="70" spans="1:15" s="91" customFormat="1" ht="61" customHeight="1" x14ac:dyDescent="0.4">
      <c r="B70" s="92" t="s">
        <v>157</v>
      </c>
      <c r="C70" s="88" t="s">
        <v>150</v>
      </c>
      <c r="D70" s="151"/>
      <c r="E70" s="88" t="s">
        <v>29</v>
      </c>
      <c r="F70" s="93">
        <f>G70+H70+I70</f>
        <v>2591.6999999999998</v>
      </c>
      <c r="G70" s="93"/>
      <c r="H70" s="93">
        <v>1437.3</v>
      </c>
      <c r="I70" s="93">
        <v>1154.4000000000001</v>
      </c>
      <c r="J70" s="94"/>
      <c r="K70" s="94"/>
      <c r="L70" s="95"/>
      <c r="M70" s="91" t="s">
        <v>206</v>
      </c>
      <c r="N70" s="91" t="s">
        <v>207</v>
      </c>
      <c r="O70" s="91" t="s">
        <v>208</v>
      </c>
    </row>
    <row r="71" spans="1:15" s="91" customFormat="1" ht="37.5" customHeight="1" thickBot="1" x14ac:dyDescent="0.45">
      <c r="B71" s="133" t="s">
        <v>158</v>
      </c>
      <c r="C71" s="132" t="s">
        <v>165</v>
      </c>
      <c r="D71" s="151"/>
      <c r="E71" s="26" t="s">
        <v>32</v>
      </c>
      <c r="F71" s="93">
        <f t="shared" ref="F71" si="6">G71+H71+I71</f>
        <v>260.2</v>
      </c>
      <c r="G71" s="93">
        <v>260.2</v>
      </c>
      <c r="H71" s="93"/>
      <c r="I71" s="93"/>
      <c r="J71" s="94"/>
      <c r="K71" s="94"/>
      <c r="L71" s="95"/>
    </row>
    <row r="72" spans="1:15" ht="35.5" thickBot="1" x14ac:dyDescent="0.45">
      <c r="B72" s="156" t="s">
        <v>44</v>
      </c>
      <c r="C72" s="157"/>
      <c r="D72" s="15"/>
      <c r="E72" s="37" t="s">
        <v>40</v>
      </c>
      <c r="F72" s="35">
        <f>SUM(F66:F71)</f>
        <v>432619.7</v>
      </c>
      <c r="G72" s="35">
        <f>SUM(G66:G71)</f>
        <v>136720.40000000002</v>
      </c>
      <c r="H72" s="35">
        <f>SUM(H66:H71)</f>
        <v>144964.49999999997</v>
      </c>
      <c r="I72" s="56">
        <f>SUM(I66:I71)</f>
        <v>150934.80000000002</v>
      </c>
      <c r="J72" s="8"/>
      <c r="K72" s="8"/>
      <c r="L72" s="50"/>
      <c r="N72" s="73">
        <f>SUM(G70,G68,G67)</f>
        <v>114620.3</v>
      </c>
      <c r="O72" s="73">
        <f>SUM(G69,G66)</f>
        <v>21839.9</v>
      </c>
    </row>
    <row r="73" spans="1:15" x14ac:dyDescent="0.4">
      <c r="B73" s="179" t="s">
        <v>77</v>
      </c>
      <c r="C73" s="180"/>
      <c r="D73" s="180"/>
      <c r="E73" s="180"/>
      <c r="F73" s="180"/>
      <c r="G73" s="180"/>
      <c r="H73" s="180"/>
      <c r="I73" s="180"/>
      <c r="J73" s="237"/>
      <c r="K73" s="180"/>
      <c r="L73" s="181"/>
    </row>
    <row r="74" spans="1:15" ht="36" x14ac:dyDescent="0.4">
      <c r="B74" s="30" t="s">
        <v>182</v>
      </c>
      <c r="C74" s="26" t="s">
        <v>128</v>
      </c>
      <c r="D74" s="10"/>
      <c r="E74" s="4" t="s">
        <v>28</v>
      </c>
      <c r="F74" s="3"/>
      <c r="G74" s="6"/>
      <c r="H74" s="6"/>
      <c r="I74" s="9"/>
      <c r="J74" s="4">
        <v>127</v>
      </c>
      <c r="K74" s="4">
        <v>127</v>
      </c>
      <c r="L74" s="43">
        <v>127</v>
      </c>
    </row>
    <row r="75" spans="1:15" ht="36" customHeight="1" x14ac:dyDescent="0.4">
      <c r="B75" s="7" t="s">
        <v>210</v>
      </c>
      <c r="C75" s="70" t="s">
        <v>88</v>
      </c>
      <c r="D75" s="200" t="s">
        <v>47</v>
      </c>
      <c r="E75" s="236" t="s">
        <v>29</v>
      </c>
      <c r="F75" s="33">
        <f>G75+H75+I75</f>
        <v>5304.2999999999993</v>
      </c>
      <c r="G75" s="33">
        <v>1768.1</v>
      </c>
      <c r="H75" s="33">
        <v>1768.1</v>
      </c>
      <c r="I75" s="33">
        <v>1768.1</v>
      </c>
      <c r="J75" s="10"/>
      <c r="K75" s="10"/>
      <c r="L75" s="49"/>
    </row>
    <row r="76" spans="1:15" ht="38.5" customHeight="1" thickBot="1" x14ac:dyDescent="0.45">
      <c r="B76" s="238" t="s">
        <v>46</v>
      </c>
      <c r="C76" s="178"/>
      <c r="D76" s="150"/>
      <c r="E76" s="201"/>
      <c r="F76" s="85">
        <f>SUM(F75)</f>
        <v>5304.2999999999993</v>
      </c>
      <c r="G76" s="85">
        <f t="shared" ref="G76:I76" si="7">SUM(G75)</f>
        <v>1768.1</v>
      </c>
      <c r="H76" s="85">
        <f t="shared" si="7"/>
        <v>1768.1</v>
      </c>
      <c r="I76" s="85">
        <f t="shared" si="7"/>
        <v>1768.1</v>
      </c>
      <c r="J76" s="51"/>
      <c r="K76" s="51"/>
      <c r="L76" s="52"/>
    </row>
    <row r="77" spans="1:15" ht="23.5" customHeight="1" x14ac:dyDescent="0.4">
      <c r="B77" s="147" t="s">
        <v>222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9"/>
      <c r="M77" s="73"/>
    </row>
    <row r="78" spans="1:15" ht="38.5" customHeight="1" x14ac:dyDescent="0.4">
      <c r="B78" s="123" t="s">
        <v>212</v>
      </c>
      <c r="C78" s="123" t="s">
        <v>209</v>
      </c>
      <c r="D78" s="124"/>
      <c r="E78" s="123"/>
      <c r="F78" s="125"/>
      <c r="G78" s="125"/>
      <c r="H78" s="125"/>
      <c r="I78" s="125"/>
      <c r="J78" s="126">
        <v>100</v>
      </c>
      <c r="K78" s="126">
        <v>100</v>
      </c>
      <c r="L78" s="126">
        <v>100</v>
      </c>
      <c r="M78" s="73"/>
    </row>
    <row r="79" spans="1:15" ht="38.5" customHeight="1" x14ac:dyDescent="0.4">
      <c r="B79" s="123" t="s">
        <v>224</v>
      </c>
      <c r="C79" s="123" t="s">
        <v>211</v>
      </c>
      <c r="D79" s="150" t="s">
        <v>47</v>
      </c>
      <c r="E79" s="123"/>
      <c r="F79" s="125"/>
      <c r="G79" s="125"/>
      <c r="H79" s="125"/>
      <c r="I79" s="125"/>
      <c r="J79" s="126">
        <v>100</v>
      </c>
      <c r="K79" s="126">
        <v>100</v>
      </c>
      <c r="L79" s="126">
        <v>100</v>
      </c>
      <c r="M79" s="73"/>
    </row>
    <row r="80" spans="1:15" s="91" customFormat="1" x14ac:dyDescent="0.4">
      <c r="B80" s="152" t="s">
        <v>225</v>
      </c>
      <c r="C80" s="154" t="s">
        <v>177</v>
      </c>
      <c r="D80" s="151"/>
      <c r="E80" s="26" t="s">
        <v>32</v>
      </c>
      <c r="F80" s="93">
        <f t="shared" ref="F80:F81" si="8">G80+H80+I80</f>
        <v>22.2</v>
      </c>
      <c r="G80" s="93">
        <v>2.5</v>
      </c>
      <c r="H80" s="93">
        <v>8.6</v>
      </c>
      <c r="I80" s="93">
        <v>11.1</v>
      </c>
      <c r="J80" s="94"/>
      <c r="K80" s="94"/>
      <c r="L80" s="95"/>
    </row>
    <row r="81" spans="2:13" s="91" customFormat="1" ht="18.5" thickBot="1" x14ac:dyDescent="0.45">
      <c r="B81" s="153"/>
      <c r="C81" s="155"/>
      <c r="D81" s="151"/>
      <c r="E81" s="122" t="s">
        <v>29</v>
      </c>
      <c r="F81" s="93">
        <f t="shared" si="8"/>
        <v>420</v>
      </c>
      <c r="G81" s="93">
        <v>46.7</v>
      </c>
      <c r="H81" s="93">
        <v>163.30000000000001</v>
      </c>
      <c r="I81" s="93">
        <v>210</v>
      </c>
      <c r="J81" s="94"/>
      <c r="K81" s="94"/>
      <c r="L81" s="95"/>
    </row>
    <row r="82" spans="2:13" ht="35" customHeight="1" thickBot="1" x14ac:dyDescent="0.45">
      <c r="B82" s="156" t="s">
        <v>213</v>
      </c>
      <c r="C82" s="157"/>
      <c r="D82" s="127"/>
      <c r="E82" s="37" t="s">
        <v>40</v>
      </c>
      <c r="F82" s="35">
        <f>SUM(F80:F81)</f>
        <v>442.2</v>
      </c>
      <c r="G82" s="35">
        <f t="shared" ref="G82:I82" si="9">SUM(G80:G81)</f>
        <v>49.2</v>
      </c>
      <c r="H82" s="35">
        <f t="shared" si="9"/>
        <v>171.9</v>
      </c>
      <c r="I82" s="35">
        <f t="shared" si="9"/>
        <v>221.1</v>
      </c>
      <c r="J82" s="8"/>
      <c r="K82" s="8"/>
      <c r="L82" s="50"/>
      <c r="M82" s="73"/>
    </row>
    <row r="83" spans="2:13" s="91" customFormat="1" ht="23.5" customHeight="1" x14ac:dyDescent="0.4">
      <c r="B83" s="160" t="s">
        <v>229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2"/>
      <c r="M83" s="135"/>
    </row>
    <row r="84" spans="2:13" s="91" customFormat="1" ht="59.5" customHeight="1" x14ac:dyDescent="0.4">
      <c r="B84" s="26" t="s">
        <v>226</v>
      </c>
      <c r="C84" s="26" t="s">
        <v>228</v>
      </c>
      <c r="D84" s="136"/>
      <c r="E84" s="26"/>
      <c r="F84" s="137"/>
      <c r="G84" s="137"/>
      <c r="H84" s="137"/>
      <c r="I84" s="137"/>
      <c r="J84" s="138">
        <v>100</v>
      </c>
      <c r="K84" s="138">
        <v>100</v>
      </c>
      <c r="L84" s="138">
        <v>100</v>
      </c>
      <c r="M84" s="135"/>
    </row>
    <row r="85" spans="2:13" s="91" customFormat="1" ht="38.5" customHeight="1" x14ac:dyDescent="0.4">
      <c r="B85" s="166" t="s">
        <v>227</v>
      </c>
      <c r="C85" s="154" t="s">
        <v>218</v>
      </c>
      <c r="D85" s="163" t="s">
        <v>47</v>
      </c>
      <c r="E85" s="26" t="s">
        <v>160</v>
      </c>
      <c r="F85" s="93">
        <f t="shared" ref="F85:F87" si="10">G85+H85+I85</f>
        <v>4780.6000000000004</v>
      </c>
      <c r="G85" s="93">
        <v>4780.6000000000004</v>
      </c>
      <c r="H85" s="93"/>
      <c r="I85" s="93"/>
      <c r="J85" s="138"/>
      <c r="K85" s="138"/>
      <c r="L85" s="138"/>
      <c r="M85" s="135"/>
    </row>
    <row r="86" spans="2:13" s="91" customFormat="1" x14ac:dyDescent="0.4">
      <c r="B86" s="167"/>
      <c r="C86" s="155"/>
      <c r="D86" s="164"/>
      <c r="E86" s="26" t="s">
        <v>29</v>
      </c>
      <c r="F86" s="93">
        <f t="shared" si="10"/>
        <v>714.4</v>
      </c>
      <c r="G86" s="93">
        <v>714.4</v>
      </c>
      <c r="H86" s="93"/>
      <c r="I86" s="93"/>
      <c r="J86" s="94"/>
      <c r="K86" s="94"/>
      <c r="L86" s="95"/>
    </row>
    <row r="87" spans="2:13" s="91" customFormat="1" ht="18.5" thickBot="1" x14ac:dyDescent="0.45">
      <c r="B87" s="168"/>
      <c r="C87" s="165"/>
      <c r="D87" s="164"/>
      <c r="E87" s="132" t="s">
        <v>32</v>
      </c>
      <c r="F87" s="93">
        <f t="shared" si="10"/>
        <v>5.5</v>
      </c>
      <c r="G87" s="93">
        <v>5.5</v>
      </c>
      <c r="H87" s="93"/>
      <c r="I87" s="93"/>
      <c r="J87" s="94"/>
      <c r="K87" s="94"/>
      <c r="L87" s="95"/>
    </row>
    <row r="88" spans="2:13" s="91" customFormat="1" ht="35" customHeight="1" thickBot="1" x14ac:dyDescent="0.45">
      <c r="B88" s="158" t="s">
        <v>223</v>
      </c>
      <c r="C88" s="159"/>
      <c r="D88" s="139"/>
      <c r="E88" s="140" t="s">
        <v>40</v>
      </c>
      <c r="F88" s="141">
        <f>SUM(F85:F87)</f>
        <v>5500.5</v>
      </c>
      <c r="G88" s="141">
        <f>SUM(G85:G87)</f>
        <v>5500.5</v>
      </c>
      <c r="H88" s="141">
        <f t="shared" ref="H88:I88" si="11">SUM(H85:H87)</f>
        <v>0</v>
      </c>
      <c r="I88" s="141">
        <f t="shared" si="11"/>
        <v>0</v>
      </c>
      <c r="J88" s="142"/>
      <c r="K88" s="142"/>
      <c r="L88" s="143"/>
      <c r="M88" s="135"/>
    </row>
    <row r="89" spans="2:13" ht="35.5" thickBot="1" x14ac:dyDescent="0.45">
      <c r="B89" s="145" t="s">
        <v>97</v>
      </c>
      <c r="C89" s="146"/>
      <c r="D89" s="20"/>
      <c r="E89" s="128" t="s">
        <v>40</v>
      </c>
      <c r="F89" s="129">
        <f>SUM(F82,F76,F72,F88)</f>
        <v>443866.7</v>
      </c>
      <c r="G89" s="129">
        <f>SUM(G82,G76,G72,G88)</f>
        <v>144038.20000000001</v>
      </c>
      <c r="H89" s="129">
        <f>SUM(H82,H76,H72,H88)</f>
        <v>146904.49999999997</v>
      </c>
      <c r="I89" s="129">
        <f>SUM(I82,I76,I72,I88)</f>
        <v>152924.00000000003</v>
      </c>
      <c r="J89" s="20"/>
      <c r="K89" s="20"/>
      <c r="L89" s="53"/>
      <c r="M89" s="73">
        <f>G89-138543.2</f>
        <v>5495</v>
      </c>
    </row>
    <row r="90" spans="2:13" x14ac:dyDescent="0.4">
      <c r="B90" s="179" t="s">
        <v>48</v>
      </c>
      <c r="C90" s="180"/>
      <c r="D90" s="180"/>
      <c r="E90" s="180"/>
      <c r="F90" s="180"/>
      <c r="G90" s="180"/>
      <c r="H90" s="180"/>
      <c r="I90" s="180"/>
      <c r="J90" s="180"/>
      <c r="K90" s="180"/>
      <c r="L90" s="181"/>
    </row>
    <row r="91" spans="2:13" x14ac:dyDescent="0.4">
      <c r="B91" s="188" t="s">
        <v>71</v>
      </c>
      <c r="C91" s="189"/>
      <c r="D91" s="189"/>
      <c r="E91" s="189"/>
      <c r="F91" s="189"/>
      <c r="G91" s="189"/>
      <c r="H91" s="189"/>
      <c r="I91" s="189"/>
      <c r="J91" s="189"/>
      <c r="K91" s="189"/>
      <c r="L91" s="190"/>
    </row>
    <row r="92" spans="2:13" x14ac:dyDescent="0.4">
      <c r="B92" s="175" t="s">
        <v>89</v>
      </c>
      <c r="C92" s="176"/>
      <c r="D92" s="176"/>
      <c r="E92" s="176"/>
      <c r="F92" s="176"/>
      <c r="G92" s="176"/>
      <c r="H92" s="176"/>
      <c r="I92" s="176"/>
      <c r="J92" s="178"/>
      <c r="K92" s="176"/>
      <c r="L92" s="177"/>
    </row>
    <row r="93" spans="2:13" ht="54.65" customHeight="1" x14ac:dyDescent="0.4">
      <c r="B93" s="7" t="s">
        <v>49</v>
      </c>
      <c r="C93" s="70" t="s">
        <v>50</v>
      </c>
      <c r="D93" s="70" t="s">
        <v>28</v>
      </c>
      <c r="E93" s="70" t="s">
        <v>28</v>
      </c>
      <c r="F93" s="3"/>
      <c r="G93" s="6"/>
      <c r="H93" s="6"/>
      <c r="I93" s="9"/>
      <c r="J93" s="4">
        <v>70</v>
      </c>
      <c r="K93" s="4">
        <v>70</v>
      </c>
      <c r="L93" s="43">
        <v>70</v>
      </c>
    </row>
    <row r="94" spans="2:13" ht="38.15" customHeight="1" x14ac:dyDescent="0.4">
      <c r="B94" s="7" t="s">
        <v>51</v>
      </c>
      <c r="C94" s="70" t="s">
        <v>100</v>
      </c>
      <c r="D94" s="200" t="s">
        <v>47</v>
      </c>
      <c r="E94" s="77" t="s">
        <v>32</v>
      </c>
      <c r="F94" s="31">
        <f>G94+H94+I94</f>
        <v>26347.1</v>
      </c>
      <c r="G94" s="31">
        <f>5257.1+970</f>
        <v>6227.1</v>
      </c>
      <c r="H94" s="31">
        <v>10060</v>
      </c>
      <c r="I94" s="31">
        <v>10060</v>
      </c>
      <c r="J94" s="4"/>
      <c r="K94" s="4"/>
      <c r="L94" s="43"/>
    </row>
    <row r="95" spans="2:13" ht="28" customHeight="1" x14ac:dyDescent="0.4">
      <c r="B95" s="203" t="s">
        <v>139</v>
      </c>
      <c r="C95" s="201" t="s">
        <v>140</v>
      </c>
      <c r="D95" s="150"/>
      <c r="E95" s="80" t="s">
        <v>32</v>
      </c>
      <c r="F95" s="31">
        <f>G95</f>
        <v>0</v>
      </c>
      <c r="G95" s="31"/>
      <c r="H95" s="31"/>
      <c r="I95" s="31"/>
      <c r="J95" s="4"/>
      <c r="K95" s="4"/>
      <c r="L95" s="43"/>
    </row>
    <row r="96" spans="2:13" ht="28" customHeight="1" thickBot="1" x14ac:dyDescent="0.45">
      <c r="B96" s="204"/>
      <c r="C96" s="202"/>
      <c r="D96" s="150"/>
      <c r="E96" s="81" t="s">
        <v>29</v>
      </c>
      <c r="F96" s="33">
        <f>G96</f>
        <v>0</v>
      </c>
      <c r="G96" s="33"/>
      <c r="H96" s="33"/>
      <c r="I96" s="33"/>
      <c r="J96" s="44"/>
      <c r="K96" s="78"/>
      <c r="L96" s="79"/>
    </row>
    <row r="97" spans="1:19" ht="38.5" customHeight="1" thickBot="1" x14ac:dyDescent="0.45">
      <c r="B97" s="156" t="s">
        <v>181</v>
      </c>
      <c r="C97" s="157"/>
      <c r="D97" s="8"/>
      <c r="E97" s="37" t="s">
        <v>40</v>
      </c>
      <c r="F97" s="35">
        <f>SUM(F94:F96)</f>
        <v>26347.1</v>
      </c>
      <c r="G97" s="35">
        <f t="shared" ref="G97:I97" si="12">SUM(G94:G96)</f>
        <v>6227.1</v>
      </c>
      <c r="H97" s="35">
        <f t="shared" si="12"/>
        <v>10060</v>
      </c>
      <c r="I97" s="35">
        <f t="shared" si="12"/>
        <v>10060</v>
      </c>
      <c r="J97" s="8"/>
      <c r="K97" s="8"/>
      <c r="L97" s="50"/>
    </row>
    <row r="98" spans="1:19" ht="55.5" customHeight="1" x14ac:dyDescent="0.4">
      <c r="B98" s="215" t="s">
        <v>186</v>
      </c>
      <c r="C98" s="216"/>
      <c r="D98" s="216"/>
      <c r="E98" s="216"/>
      <c r="F98" s="216"/>
      <c r="G98" s="216"/>
      <c r="H98" s="216"/>
      <c r="I98" s="216"/>
      <c r="J98" s="216"/>
      <c r="K98" s="216"/>
      <c r="L98" s="217"/>
    </row>
    <row r="99" spans="1:19" x14ac:dyDescent="0.4">
      <c r="B99" s="175" t="s">
        <v>187</v>
      </c>
      <c r="C99" s="176"/>
      <c r="D99" s="176"/>
      <c r="E99" s="176"/>
      <c r="F99" s="176"/>
      <c r="G99" s="176"/>
      <c r="H99" s="176"/>
      <c r="I99" s="176"/>
      <c r="J99" s="178"/>
      <c r="K99" s="176"/>
      <c r="L99" s="177"/>
    </row>
    <row r="100" spans="1:19" ht="44.5" customHeight="1" x14ac:dyDescent="0.4">
      <c r="B100" s="4" t="s">
        <v>183</v>
      </c>
      <c r="C100" s="111" t="s">
        <v>188</v>
      </c>
      <c r="D100" s="150" t="s">
        <v>190</v>
      </c>
      <c r="E100" s="112"/>
      <c r="F100" s="113"/>
      <c r="G100" s="113"/>
      <c r="H100" s="113"/>
      <c r="I100" s="114"/>
      <c r="J100" s="4">
        <v>30</v>
      </c>
      <c r="K100" s="78">
        <v>30</v>
      </c>
      <c r="L100" s="79">
        <v>30</v>
      </c>
    </row>
    <row r="101" spans="1:19" ht="57" customHeight="1" x14ac:dyDescent="0.4">
      <c r="B101" s="4" t="s">
        <v>184</v>
      </c>
      <c r="C101" s="111" t="s">
        <v>189</v>
      </c>
      <c r="D101" s="151"/>
      <c r="E101" s="201" t="s">
        <v>32</v>
      </c>
      <c r="F101" s="31">
        <f>G101</f>
        <v>4237.0999999999995</v>
      </c>
      <c r="G101" s="31">
        <f>5162.2-925.1</f>
        <v>4237.0999999999995</v>
      </c>
      <c r="H101" s="31"/>
      <c r="I101" s="31"/>
      <c r="J101" s="4"/>
      <c r="K101" s="4"/>
      <c r="L101" s="4"/>
    </row>
    <row r="102" spans="1:19" ht="79.5" customHeight="1" thickBot="1" x14ac:dyDescent="0.45">
      <c r="B102" s="110" t="s">
        <v>195</v>
      </c>
      <c r="C102" s="121" t="s">
        <v>204</v>
      </c>
      <c r="D102" s="199"/>
      <c r="E102" s="229"/>
      <c r="F102" s="33">
        <f>G102</f>
        <v>872.9</v>
      </c>
      <c r="G102" s="113">
        <f>917.8-44.9</f>
        <v>872.9</v>
      </c>
      <c r="H102" s="113"/>
      <c r="I102" s="114"/>
      <c r="J102" s="78"/>
      <c r="K102" s="78"/>
      <c r="L102" s="79"/>
    </row>
    <row r="103" spans="1:19" ht="38.5" customHeight="1" thickBot="1" x14ac:dyDescent="0.45">
      <c r="B103" s="156" t="s">
        <v>185</v>
      </c>
      <c r="C103" s="157"/>
      <c r="D103" s="8"/>
      <c r="E103" s="37" t="s">
        <v>32</v>
      </c>
      <c r="F103" s="35">
        <f>SUM(F101:F102)</f>
        <v>5109.9999999999991</v>
      </c>
      <c r="G103" s="35">
        <f t="shared" ref="G103:I103" si="13">SUM(G101:G102)</f>
        <v>5109.9999999999991</v>
      </c>
      <c r="H103" s="35">
        <f t="shared" si="13"/>
        <v>0</v>
      </c>
      <c r="I103" s="35">
        <f t="shared" si="13"/>
        <v>0</v>
      </c>
      <c r="J103" s="8"/>
      <c r="K103" s="8"/>
      <c r="L103" s="50"/>
    </row>
    <row r="104" spans="1:19" ht="18.5" thickBot="1" x14ac:dyDescent="0.45">
      <c r="B104" s="156" t="s">
        <v>52</v>
      </c>
      <c r="C104" s="157"/>
      <c r="D104" s="16"/>
      <c r="E104" s="37" t="s">
        <v>32</v>
      </c>
      <c r="F104" s="35">
        <f>SUM(F103,F97)</f>
        <v>31457.1</v>
      </c>
      <c r="G104" s="35">
        <f t="shared" ref="G104:I104" si="14">SUM(G103,G97)</f>
        <v>11337.099999999999</v>
      </c>
      <c r="H104" s="35">
        <f t="shared" si="14"/>
        <v>10060</v>
      </c>
      <c r="I104" s="35">
        <f t="shared" si="14"/>
        <v>10060</v>
      </c>
      <c r="J104" s="8"/>
      <c r="K104" s="8"/>
      <c r="L104" s="50"/>
      <c r="M104" s="73"/>
    </row>
    <row r="105" spans="1:19" x14ac:dyDescent="0.4">
      <c r="B105" s="205" t="s">
        <v>53</v>
      </c>
      <c r="C105" s="206"/>
      <c r="D105" s="206"/>
      <c r="E105" s="206"/>
      <c r="F105" s="206"/>
      <c r="G105" s="206"/>
      <c r="H105" s="206"/>
      <c r="I105" s="206"/>
      <c r="J105" s="206"/>
      <c r="K105" s="206"/>
      <c r="L105" s="207"/>
    </row>
    <row r="106" spans="1:19" ht="40.5" customHeight="1" x14ac:dyDescent="0.4">
      <c r="B106" s="208" t="s">
        <v>72</v>
      </c>
      <c r="C106" s="209"/>
      <c r="D106" s="209"/>
      <c r="E106" s="209"/>
      <c r="F106" s="209"/>
      <c r="G106" s="209"/>
      <c r="H106" s="209"/>
      <c r="I106" s="209"/>
      <c r="J106" s="209"/>
      <c r="K106" s="209"/>
      <c r="L106" s="210"/>
    </row>
    <row r="107" spans="1:19" x14ac:dyDescent="0.4">
      <c r="B107" s="211" t="s">
        <v>54</v>
      </c>
      <c r="C107" s="212"/>
      <c r="D107" s="212"/>
      <c r="E107" s="212"/>
      <c r="F107" s="212"/>
      <c r="G107" s="212"/>
      <c r="H107" s="212"/>
      <c r="I107" s="212"/>
      <c r="J107" s="213"/>
      <c r="K107" s="212"/>
      <c r="L107" s="214"/>
    </row>
    <row r="108" spans="1:19" ht="42" customHeight="1" x14ac:dyDescent="0.4">
      <c r="B108" s="7" t="s">
        <v>55</v>
      </c>
      <c r="C108" s="70" t="s">
        <v>78</v>
      </c>
      <c r="D108" s="70" t="s">
        <v>28</v>
      </c>
      <c r="E108" s="70" t="s">
        <v>28</v>
      </c>
      <c r="F108" s="3"/>
      <c r="G108" s="6"/>
      <c r="H108" s="6"/>
      <c r="I108" s="9"/>
      <c r="J108" s="4">
        <v>537</v>
      </c>
      <c r="K108" s="4">
        <v>537</v>
      </c>
      <c r="L108" s="43">
        <v>537</v>
      </c>
    </row>
    <row r="109" spans="1:19" ht="36" x14ac:dyDescent="0.4">
      <c r="B109" s="70" t="s">
        <v>56</v>
      </c>
      <c r="C109" s="70" t="s">
        <v>121</v>
      </c>
      <c r="D109" s="70" t="s">
        <v>28</v>
      </c>
      <c r="E109" s="70" t="s">
        <v>28</v>
      </c>
      <c r="F109" s="11"/>
      <c r="G109" s="11"/>
      <c r="H109" s="11"/>
      <c r="I109" s="11"/>
      <c r="J109" s="4">
        <v>1975</v>
      </c>
      <c r="K109" s="4">
        <v>1975</v>
      </c>
      <c r="L109" s="4">
        <v>1975</v>
      </c>
    </row>
    <row r="110" spans="1:19" ht="60" customHeight="1" x14ac:dyDescent="0.4">
      <c r="A110" s="1" t="s">
        <v>84</v>
      </c>
      <c r="B110" s="74" t="s">
        <v>108</v>
      </c>
      <c r="C110" s="68" t="s">
        <v>103</v>
      </c>
      <c r="D110" s="150" t="s">
        <v>57</v>
      </c>
      <c r="E110" s="68" t="s">
        <v>32</v>
      </c>
      <c r="F110" s="33">
        <f>G110+H110+I110</f>
        <v>0</v>
      </c>
      <c r="G110" s="33"/>
      <c r="H110" s="33"/>
      <c r="I110" s="33"/>
      <c r="J110" s="51"/>
      <c r="K110" s="51"/>
      <c r="L110" s="52"/>
    </row>
    <row r="111" spans="1:19" ht="66" customHeight="1" thickBot="1" x14ac:dyDescent="0.45">
      <c r="B111" s="68" t="s">
        <v>109</v>
      </c>
      <c r="C111" s="68" t="s">
        <v>107</v>
      </c>
      <c r="D111" s="199"/>
      <c r="E111" s="68" t="s">
        <v>29</v>
      </c>
      <c r="F111" s="33">
        <f>G111+H111+I111</f>
        <v>2556.8000000000002</v>
      </c>
      <c r="G111" s="33">
        <v>851.1</v>
      </c>
      <c r="H111" s="33">
        <v>851.8</v>
      </c>
      <c r="I111" s="33">
        <v>853.9</v>
      </c>
      <c r="J111" s="51"/>
      <c r="K111" s="51"/>
      <c r="L111" s="51"/>
    </row>
    <row r="112" spans="1:19" ht="18.5" thickBot="1" x14ac:dyDescent="0.45">
      <c r="B112" s="197" t="s">
        <v>106</v>
      </c>
      <c r="C112" s="198"/>
      <c r="D112" s="12"/>
      <c r="E112" s="75"/>
      <c r="F112" s="35">
        <f>SUM(F110:F111)</f>
        <v>2556.8000000000002</v>
      </c>
      <c r="G112" s="35">
        <f t="shared" ref="G112:I112" si="15">SUM(G110:G111)</f>
        <v>851.1</v>
      </c>
      <c r="H112" s="35">
        <f t="shared" si="15"/>
        <v>851.8</v>
      </c>
      <c r="I112" s="56">
        <f t="shared" si="15"/>
        <v>853.9</v>
      </c>
      <c r="J112" s="57"/>
      <c r="K112" s="58"/>
      <c r="L112" s="59"/>
      <c r="M112" s="21"/>
      <c r="N112" s="22"/>
      <c r="O112" s="23"/>
      <c r="P112" s="21"/>
      <c r="Q112" s="21"/>
      <c r="R112" s="21"/>
      <c r="S112" s="22"/>
    </row>
    <row r="113" spans="1:12" x14ac:dyDescent="0.4">
      <c r="B113" s="191" t="s">
        <v>125</v>
      </c>
      <c r="C113" s="192"/>
      <c r="D113" s="192"/>
      <c r="E113" s="192"/>
      <c r="F113" s="192"/>
      <c r="G113" s="192"/>
      <c r="H113" s="192"/>
      <c r="I113" s="192"/>
      <c r="J113" s="192"/>
      <c r="K113" s="192"/>
      <c r="L113" s="193"/>
    </row>
    <row r="114" spans="1:12" x14ac:dyDescent="0.4">
      <c r="B114" s="194" t="s">
        <v>127</v>
      </c>
      <c r="C114" s="195"/>
      <c r="D114" s="195"/>
      <c r="E114" s="195"/>
      <c r="F114" s="195"/>
      <c r="G114" s="195"/>
      <c r="H114" s="195"/>
      <c r="I114" s="195"/>
      <c r="J114" s="195"/>
      <c r="K114" s="195"/>
      <c r="L114" s="196"/>
    </row>
    <row r="115" spans="1:12" ht="78" customHeight="1" x14ac:dyDescent="0.4">
      <c r="B115" s="7" t="s">
        <v>117</v>
      </c>
      <c r="C115" s="70" t="s">
        <v>75</v>
      </c>
      <c r="D115" s="17" t="s">
        <v>74</v>
      </c>
      <c r="E115" s="17" t="s">
        <v>74</v>
      </c>
      <c r="F115" s="63"/>
      <c r="G115" s="63"/>
      <c r="H115" s="63"/>
      <c r="I115" s="63"/>
      <c r="J115" s="4">
        <v>86</v>
      </c>
      <c r="K115" s="4">
        <v>86</v>
      </c>
      <c r="L115" s="43">
        <v>86</v>
      </c>
    </row>
    <row r="116" spans="1:12" ht="18.5" x14ac:dyDescent="0.4">
      <c r="B116" s="7" t="s">
        <v>118</v>
      </c>
      <c r="C116" s="70" t="s">
        <v>76</v>
      </c>
      <c r="D116" s="17" t="s">
        <v>74</v>
      </c>
      <c r="E116" s="17" t="s">
        <v>74</v>
      </c>
      <c r="F116" s="63"/>
      <c r="G116" s="63"/>
      <c r="H116" s="63"/>
      <c r="I116" s="63"/>
      <c r="J116" s="4">
        <v>83</v>
      </c>
      <c r="K116" s="4">
        <v>83</v>
      </c>
      <c r="L116" s="43">
        <v>83</v>
      </c>
    </row>
    <row r="117" spans="1:12" ht="91.5" customHeight="1" x14ac:dyDescent="0.4">
      <c r="B117" s="7" t="s">
        <v>119</v>
      </c>
      <c r="C117" s="70" t="s">
        <v>161</v>
      </c>
      <c r="D117" s="17" t="s">
        <v>74</v>
      </c>
      <c r="E117" s="17" t="s">
        <v>74</v>
      </c>
      <c r="F117" s="63"/>
      <c r="G117" s="63"/>
      <c r="H117" s="63"/>
      <c r="I117" s="63"/>
      <c r="J117" s="4">
        <v>100</v>
      </c>
      <c r="K117" s="4">
        <v>100</v>
      </c>
      <c r="L117" s="43">
        <v>100</v>
      </c>
    </row>
    <row r="118" spans="1:12" ht="53.15" customHeight="1" thickBot="1" x14ac:dyDescent="0.45">
      <c r="A118" s="1" t="s">
        <v>110</v>
      </c>
      <c r="B118" s="5" t="s">
        <v>120</v>
      </c>
      <c r="C118" s="69" t="s">
        <v>90</v>
      </c>
      <c r="D118" s="18" t="s">
        <v>58</v>
      </c>
      <c r="E118" s="68" t="s">
        <v>32</v>
      </c>
      <c r="F118" s="33">
        <f>G118+H118+I118</f>
        <v>10567.2</v>
      </c>
      <c r="G118" s="33">
        <v>3410.3</v>
      </c>
      <c r="H118" s="33">
        <v>3513</v>
      </c>
      <c r="I118" s="33">
        <v>3643.9</v>
      </c>
      <c r="J118" s="51"/>
      <c r="K118" s="51"/>
      <c r="L118" s="52"/>
    </row>
    <row r="119" spans="1:12" ht="18.5" thickBot="1" x14ac:dyDescent="0.45">
      <c r="B119" s="156" t="s">
        <v>59</v>
      </c>
      <c r="C119" s="157"/>
      <c r="D119" s="19"/>
      <c r="E119" s="32" t="s">
        <v>32</v>
      </c>
      <c r="F119" s="35">
        <f>G119+H119+I119</f>
        <v>10567.2</v>
      </c>
      <c r="G119" s="39">
        <f>G118</f>
        <v>3410.3</v>
      </c>
      <c r="H119" s="39">
        <f>H118</f>
        <v>3513</v>
      </c>
      <c r="I119" s="60">
        <f t="shared" ref="I119" si="16">I118</f>
        <v>3643.9</v>
      </c>
      <c r="J119" s="8"/>
      <c r="K119" s="8"/>
      <c r="L119" s="50"/>
    </row>
    <row r="120" spans="1:12" ht="18.5" thickBot="1" x14ac:dyDescent="0.45">
      <c r="B120" s="145" t="s">
        <v>102</v>
      </c>
      <c r="C120" s="146"/>
      <c r="D120" s="20"/>
      <c r="E120" s="38"/>
      <c r="F120" s="35">
        <f>SUM(F24,F28,F32,F36,F53,F89,F104,F112,F119)</f>
        <v>1024288.7999999999</v>
      </c>
      <c r="G120" s="35">
        <f>G119+G112+G104+G53+G36+G32+G28+G24+G89</f>
        <v>359967.8</v>
      </c>
      <c r="H120" s="35">
        <f>H119+H112+H104+H53+H36+H32+H28+H24+H89</f>
        <v>327377.09999999998</v>
      </c>
      <c r="I120" s="56">
        <f>I119+I112+I104+I53+I36+I32+I28+I24+I89</f>
        <v>336943.9</v>
      </c>
      <c r="J120" s="8"/>
      <c r="K120" s="20"/>
      <c r="L120" s="53"/>
    </row>
    <row r="121" spans="1:12" x14ac:dyDescent="0.4">
      <c r="F121" s="40"/>
      <c r="G121" s="40"/>
      <c r="H121" s="40"/>
      <c r="I121" s="40"/>
    </row>
    <row r="122" spans="1:12" x14ac:dyDescent="0.4">
      <c r="F122" s="40"/>
      <c r="G122" s="40"/>
      <c r="H122" s="40"/>
      <c r="I122" s="40"/>
      <c r="J122" s="73"/>
    </row>
    <row r="123" spans="1:12" x14ac:dyDescent="0.4">
      <c r="F123" s="40"/>
      <c r="G123" s="40"/>
      <c r="H123" s="40"/>
      <c r="I123" s="40"/>
    </row>
    <row r="124" spans="1:12" x14ac:dyDescent="0.4">
      <c r="D124" s="1" t="s">
        <v>81</v>
      </c>
      <c r="F124" s="31">
        <f>SUM(F118,F110,F102,F101,F95,F94,F87,F80,F71,F69,F66,F51,F48,F46,F35)</f>
        <v>321132.79999999999</v>
      </c>
      <c r="G124" s="31">
        <f t="shared" ref="G124:I124" si="17">SUM(G118,G110,G102,G101,G95,G94,G87,G80,G71,G69,G66,G51,G48,G46,G35)</f>
        <v>115995.9</v>
      </c>
      <c r="H124" s="31">
        <f t="shared" si="17"/>
        <v>102501.5</v>
      </c>
      <c r="I124" s="31">
        <f t="shared" si="17"/>
        <v>102635.4</v>
      </c>
    </row>
    <row r="125" spans="1:12" x14ac:dyDescent="0.4">
      <c r="F125" s="31"/>
      <c r="G125" s="31"/>
      <c r="H125" s="31"/>
      <c r="I125" s="31"/>
    </row>
    <row r="126" spans="1:12" x14ac:dyDescent="0.4">
      <c r="D126" s="1" t="s">
        <v>82</v>
      </c>
      <c r="F126" s="31">
        <f>SUM(F111,F96,F86,F81,F75,F70,F68,F67,F52,F50,F47,F31,F27,F23,F22,F21,F20)</f>
        <v>696567.70000000007</v>
      </c>
      <c r="G126" s="31">
        <f t="shared" ref="G126:I126" si="18">SUM(G111,G96,G86,G81,G75,G70,G68,G67,G52,G50,G47,G31,G27,G23,G22,G21,G20)</f>
        <v>237383.6</v>
      </c>
      <c r="H126" s="31">
        <f t="shared" si="18"/>
        <v>224875.6</v>
      </c>
      <c r="I126" s="31">
        <f t="shared" si="18"/>
        <v>234308.5</v>
      </c>
    </row>
    <row r="127" spans="1:12" x14ac:dyDescent="0.4">
      <c r="F127" s="10"/>
      <c r="G127" s="10"/>
      <c r="H127" s="10"/>
      <c r="I127" s="10"/>
    </row>
    <row r="128" spans="1:12" x14ac:dyDescent="0.4">
      <c r="D128" s="1" t="s">
        <v>163</v>
      </c>
      <c r="F128" s="31">
        <f>SUM(F85,F49)</f>
        <v>6588.3</v>
      </c>
      <c r="G128" s="31">
        <f>SUM(G85,G49)</f>
        <v>6588.3</v>
      </c>
      <c r="H128" s="31">
        <f>SUM(H85,H49)</f>
        <v>0</v>
      </c>
      <c r="I128" s="31">
        <f>SUM(I85,I49)</f>
        <v>0</v>
      </c>
    </row>
    <row r="130" spans="6:9" x14ac:dyDescent="0.4">
      <c r="F130" s="73">
        <f>SUM(F124:F128)</f>
        <v>1024288.8</v>
      </c>
      <c r="G130" s="73">
        <f>SUM(G124:G128)</f>
        <v>359967.8</v>
      </c>
      <c r="H130" s="73">
        <f t="shared" ref="H130:I130" si="19">SUM(H124:H128)</f>
        <v>327377.09999999998</v>
      </c>
      <c r="I130" s="73">
        <f t="shared" si="19"/>
        <v>336943.9</v>
      </c>
    </row>
    <row r="131" spans="6:9" x14ac:dyDescent="0.4">
      <c r="G131" s="144"/>
    </row>
    <row r="132" spans="6:9" x14ac:dyDescent="0.4">
      <c r="F132" s="73"/>
      <c r="G132" s="73"/>
      <c r="H132" s="73"/>
      <c r="I132" s="73"/>
    </row>
    <row r="133" spans="6:9" x14ac:dyDescent="0.4">
      <c r="F133" s="73"/>
      <c r="G133" s="73"/>
    </row>
    <row r="134" spans="6:9" x14ac:dyDescent="0.4">
      <c r="F134" s="73"/>
      <c r="G134" s="73"/>
    </row>
    <row r="141" spans="6:9" x14ac:dyDescent="0.4">
      <c r="G141" s="73"/>
      <c r="H141" s="73"/>
    </row>
  </sheetData>
  <mergeCells count="77">
    <mergeCell ref="E75:E76"/>
    <mergeCell ref="B72:C72"/>
    <mergeCell ref="B73:L73"/>
    <mergeCell ref="B76:C76"/>
    <mergeCell ref="D75:D76"/>
    <mergeCell ref="B48:B50"/>
    <mergeCell ref="C48:C50"/>
    <mergeCell ref="D46:D52"/>
    <mergeCell ref="C51:C52"/>
    <mergeCell ref="B51:B52"/>
    <mergeCell ref="I8:L8"/>
    <mergeCell ref="B97:C97"/>
    <mergeCell ref="B103:C103"/>
    <mergeCell ref="B99:L99"/>
    <mergeCell ref="B98:L98"/>
    <mergeCell ref="D100:D102"/>
    <mergeCell ref="E101:E102"/>
    <mergeCell ref="D66:D71"/>
    <mergeCell ref="D22:D23"/>
    <mergeCell ref="D16:D21"/>
    <mergeCell ref="D26:D27"/>
    <mergeCell ref="D30:D31"/>
    <mergeCell ref="D34:D35"/>
    <mergeCell ref="B55:L55"/>
    <mergeCell ref="B54:L54"/>
    <mergeCell ref="C9:L9"/>
    <mergeCell ref="B14:L14"/>
    <mergeCell ref="B15:L15"/>
    <mergeCell ref="B11:B12"/>
    <mergeCell ref="C11:C12"/>
    <mergeCell ref="D11:D12"/>
    <mergeCell ref="E11:E12"/>
    <mergeCell ref="F11:I11"/>
    <mergeCell ref="J11:L11"/>
    <mergeCell ref="B90:L90"/>
    <mergeCell ref="B91:L91"/>
    <mergeCell ref="B120:C120"/>
    <mergeCell ref="B113:L113"/>
    <mergeCell ref="B114:L114"/>
    <mergeCell ref="B92:L92"/>
    <mergeCell ref="B112:C112"/>
    <mergeCell ref="D110:D111"/>
    <mergeCell ref="D94:D96"/>
    <mergeCell ref="C95:C96"/>
    <mergeCell ref="B95:B96"/>
    <mergeCell ref="B119:C119"/>
    <mergeCell ref="B104:C104"/>
    <mergeCell ref="B105:L105"/>
    <mergeCell ref="B106:L106"/>
    <mergeCell ref="B107:L107"/>
    <mergeCell ref="I2:L2"/>
    <mergeCell ref="I3:K3"/>
    <mergeCell ref="B33:L33"/>
    <mergeCell ref="I5:L5"/>
    <mergeCell ref="B56:L57"/>
    <mergeCell ref="B24:C24"/>
    <mergeCell ref="B25:L25"/>
    <mergeCell ref="B28:C28"/>
    <mergeCell ref="B29:L29"/>
    <mergeCell ref="B32:C32"/>
    <mergeCell ref="B37:L37"/>
    <mergeCell ref="B53:C53"/>
    <mergeCell ref="B38:L38"/>
    <mergeCell ref="B36:C36"/>
    <mergeCell ref="B39:L39"/>
    <mergeCell ref="I6:K6"/>
    <mergeCell ref="B89:C89"/>
    <mergeCell ref="B77:L77"/>
    <mergeCell ref="D79:D81"/>
    <mergeCell ref="B80:B81"/>
    <mergeCell ref="C80:C81"/>
    <mergeCell ref="B82:C82"/>
    <mergeCell ref="B88:C88"/>
    <mergeCell ref="B83:L83"/>
    <mergeCell ref="D85:D87"/>
    <mergeCell ref="C85:C87"/>
    <mergeCell ref="B85:B87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82" firstPageNumber="11" fitToHeight="0" orientation="landscape" useFirstPageNumber="1" r:id="rId1"/>
  <headerFooter>
    <oddHeader>&amp;C&amp;P</oddHeader>
  </headerFooter>
  <rowBreaks count="5" manualBreakCount="5">
    <brk id="21" min="1" max="11" man="1"/>
    <brk id="43" min="1" max="11" man="1"/>
    <brk id="65" min="1" max="11" man="1"/>
    <brk id="89" min="1" max="11" man="1"/>
    <brk id="112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3"/>
  <sheetViews>
    <sheetView topLeftCell="A28" workbookViewId="0">
      <selection activeCell="G45" sqref="G45"/>
    </sheetView>
  </sheetViews>
  <sheetFormatPr defaultRowHeight="15.5" x14ac:dyDescent="0.35"/>
  <cols>
    <col min="1" max="1" width="11.08984375" style="99" customWidth="1"/>
    <col min="2" max="5" width="14.26953125" style="101" customWidth="1"/>
    <col min="6" max="6" width="11.1796875" style="101" customWidth="1"/>
    <col min="7" max="9" width="15.7265625" style="101" customWidth="1"/>
    <col min="10" max="10" width="9.54296875" style="101" bestFit="1" customWidth="1"/>
    <col min="11" max="11" width="8.7265625" style="101"/>
    <col min="12" max="12" width="9.54296875" style="100" bestFit="1" customWidth="1"/>
    <col min="13" max="40" width="8.7265625" style="100"/>
    <col min="41" max="16384" width="8.7265625" style="99"/>
  </cols>
  <sheetData>
    <row r="1" spans="1:40" x14ac:dyDescent="0.35">
      <c r="B1" s="101" t="s">
        <v>174</v>
      </c>
      <c r="C1" s="101" t="s">
        <v>173</v>
      </c>
      <c r="D1" s="101" t="s">
        <v>176</v>
      </c>
      <c r="E1" s="101" t="s">
        <v>172</v>
      </c>
      <c r="K1" s="100"/>
      <c r="AN1" s="99"/>
    </row>
    <row r="2" spans="1:40" x14ac:dyDescent="0.35">
      <c r="A2" s="99" t="s">
        <v>171</v>
      </c>
      <c r="B2" s="101">
        <f>SUM(B5:B13)</f>
        <v>2749379.6</v>
      </c>
      <c r="C2" s="101">
        <f>SUM(C5:C13)</f>
        <v>944537.7</v>
      </c>
      <c r="D2" s="101">
        <f>SUM(D5:D13)</f>
        <v>6588.3</v>
      </c>
      <c r="E2" s="101">
        <f>SUM(E5:E13)</f>
        <v>1798253.6</v>
      </c>
      <c r="K2" s="100"/>
      <c r="AN2" s="99"/>
    </row>
    <row r="3" spans="1:40" x14ac:dyDescent="0.35">
      <c r="A3" s="239" t="s">
        <v>170</v>
      </c>
      <c r="B3" s="240" t="s">
        <v>169</v>
      </c>
      <c r="C3" s="241" t="s">
        <v>168</v>
      </c>
      <c r="D3" s="242"/>
      <c r="E3" s="243"/>
      <c r="K3" s="100"/>
      <c r="AN3" s="99"/>
    </row>
    <row r="4" spans="1:40" s="104" customFormat="1" ht="30" customHeight="1" x14ac:dyDescent="0.35">
      <c r="A4" s="239"/>
      <c r="B4" s="240"/>
      <c r="C4" s="107" t="s">
        <v>167</v>
      </c>
      <c r="D4" s="107" t="s">
        <v>175</v>
      </c>
      <c r="E4" s="107" t="s">
        <v>166</v>
      </c>
      <c r="F4" s="106"/>
      <c r="G4" s="106"/>
      <c r="H4" s="106"/>
      <c r="I4" s="106"/>
      <c r="J4" s="106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5" spans="1:40" x14ac:dyDescent="0.35">
      <c r="A5" s="103">
        <v>2014</v>
      </c>
      <c r="B5" s="102">
        <v>273928.09999999998</v>
      </c>
      <c r="C5" s="102">
        <f>B5-E5</f>
        <v>95628.499999999971</v>
      </c>
      <c r="D5" s="102">
        <v>0</v>
      </c>
      <c r="E5" s="102">
        <v>178299.6</v>
      </c>
      <c r="K5" s="100"/>
      <c r="AN5" s="99"/>
    </row>
    <row r="6" spans="1:40" x14ac:dyDescent="0.35">
      <c r="A6" s="103">
        <v>2015</v>
      </c>
      <c r="B6" s="102">
        <v>281079.8</v>
      </c>
      <c r="C6" s="102">
        <f>B6-E6</f>
        <v>104786.69999999998</v>
      </c>
      <c r="D6" s="102">
        <v>0</v>
      </c>
      <c r="E6" s="102">
        <v>176293.1</v>
      </c>
      <c r="K6" s="100"/>
      <c r="AN6" s="99"/>
    </row>
    <row r="7" spans="1:40" x14ac:dyDescent="0.35">
      <c r="A7" s="103">
        <v>2016</v>
      </c>
      <c r="B7" s="102">
        <v>291785.8</v>
      </c>
      <c r="C7" s="102">
        <f>B7-E7</f>
        <v>113468.19999999998</v>
      </c>
      <c r="D7" s="102">
        <v>0</v>
      </c>
      <c r="E7" s="102">
        <v>178317.6</v>
      </c>
      <c r="K7" s="100"/>
      <c r="AN7" s="99"/>
    </row>
    <row r="8" spans="1:40" x14ac:dyDescent="0.35">
      <c r="A8" s="103">
        <v>2017</v>
      </c>
      <c r="B8" s="102">
        <v>277682.40000000002</v>
      </c>
      <c r="C8" s="102">
        <f>B8-E8</f>
        <v>103199.30000000002</v>
      </c>
      <c r="D8" s="102">
        <v>0</v>
      </c>
      <c r="E8" s="102">
        <v>174483.1</v>
      </c>
      <c r="K8" s="100"/>
      <c r="AN8" s="99"/>
    </row>
    <row r="9" spans="1:40" x14ac:dyDescent="0.35">
      <c r="A9" s="103">
        <v>2018</v>
      </c>
      <c r="B9" s="102">
        <v>298118.7</v>
      </c>
      <c r="C9" s="102">
        <f>B9-E9</f>
        <v>94987.900000000023</v>
      </c>
      <c r="D9" s="102">
        <v>0</v>
      </c>
      <c r="E9" s="102">
        <v>203130.8</v>
      </c>
      <c r="K9" s="100"/>
      <c r="AN9" s="99"/>
    </row>
    <row r="10" spans="1:40" x14ac:dyDescent="0.35">
      <c r="A10" s="103">
        <v>2019</v>
      </c>
      <c r="B10" s="102">
        <v>302496</v>
      </c>
      <c r="C10" s="102">
        <f>B10-E10-D10</f>
        <v>111334.29999999999</v>
      </c>
      <c r="D10" s="102">
        <v>0</v>
      </c>
      <c r="E10" s="102">
        <f>191161.7-D10</f>
        <v>191161.7</v>
      </c>
      <c r="G10" s="101">
        <v>320846.60000000003</v>
      </c>
      <c r="H10" s="101">
        <v>327213.8</v>
      </c>
      <c r="I10" s="101">
        <v>336733.9</v>
      </c>
      <c r="K10" s="100"/>
      <c r="AN10" s="99"/>
    </row>
    <row r="11" spans="1:40" x14ac:dyDescent="0.35">
      <c r="A11" s="103">
        <v>2020</v>
      </c>
      <c r="B11" s="102">
        <f>'План-реал'!G120</f>
        <v>359967.8</v>
      </c>
      <c r="C11" s="102">
        <f>'План-реал'!G124</f>
        <v>115995.9</v>
      </c>
      <c r="D11" s="102">
        <f>'План-реал'!G128</f>
        <v>6588.3</v>
      </c>
      <c r="E11" s="102">
        <f>'План-реал'!G126</f>
        <v>237383.6</v>
      </c>
      <c r="F11" s="101">
        <f>SUM(C11:E11)-B11</f>
        <v>0</v>
      </c>
      <c r="G11" s="101">
        <v>209447.8</v>
      </c>
      <c r="H11" s="101">
        <v>224712.3</v>
      </c>
      <c r="I11" s="101">
        <v>234098.5</v>
      </c>
      <c r="K11" s="100"/>
      <c r="AN11" s="99"/>
    </row>
    <row r="12" spans="1:40" x14ac:dyDescent="0.35">
      <c r="A12" s="103">
        <v>2021</v>
      </c>
      <c r="B12" s="102">
        <f>'План-реал'!H120</f>
        <v>327377.09999999998</v>
      </c>
      <c r="C12" s="102">
        <f>'План-реал'!H124</f>
        <v>102501.5</v>
      </c>
      <c r="D12" s="102">
        <v>0</v>
      </c>
      <c r="E12" s="102">
        <f>'План-реал'!H126</f>
        <v>224875.6</v>
      </c>
      <c r="F12" s="101">
        <f t="shared" ref="F12:F13" si="0">SUM(C12:E12)-B12</f>
        <v>0</v>
      </c>
      <c r="K12" s="100"/>
      <c r="AN12" s="99"/>
    </row>
    <row r="13" spans="1:40" x14ac:dyDescent="0.35">
      <c r="A13" s="103">
        <v>2022</v>
      </c>
      <c r="B13" s="102">
        <f>'План-реал'!I120</f>
        <v>336943.9</v>
      </c>
      <c r="C13" s="102">
        <f>'План-реал'!I124</f>
        <v>102635.4</v>
      </c>
      <c r="D13" s="102">
        <v>0</v>
      </c>
      <c r="E13" s="102">
        <f>'План-реал'!I126</f>
        <v>234308.5</v>
      </c>
      <c r="F13" s="101">
        <f t="shared" si="0"/>
        <v>0</v>
      </c>
      <c r="K13" s="100"/>
      <c r="AN13" s="99"/>
    </row>
    <row r="14" spans="1:40" x14ac:dyDescent="0.35">
      <c r="B14" s="245" t="s">
        <v>178</v>
      </c>
      <c r="C14" s="245"/>
      <c r="D14" s="245"/>
    </row>
    <row r="15" spans="1:40" x14ac:dyDescent="0.35">
      <c r="B15" s="101" t="s">
        <v>174</v>
      </c>
      <c r="C15" s="101" t="s">
        <v>173</v>
      </c>
      <c r="E15" s="101" t="s">
        <v>172</v>
      </c>
      <c r="K15" s="100"/>
      <c r="AN15" s="99"/>
    </row>
    <row r="16" spans="1:40" x14ac:dyDescent="0.35">
      <c r="A16" s="99" t="s">
        <v>171</v>
      </c>
      <c r="B16" s="101">
        <f>SUM(B19:B27)</f>
        <v>1272361.7</v>
      </c>
      <c r="C16" s="101">
        <f>SUM(C19:C27)</f>
        <v>596489</v>
      </c>
      <c r="D16" s="101">
        <f>SUM(D19:D27)</f>
        <v>1807.7</v>
      </c>
      <c r="E16" s="101">
        <f>SUM(E19:E27)</f>
        <v>674065</v>
      </c>
      <c r="F16" s="101">
        <f>SUM(C16:E16)</f>
        <v>1272361.7</v>
      </c>
      <c r="G16" s="101">
        <f>F16-B16</f>
        <v>0</v>
      </c>
      <c r="K16" s="100"/>
      <c r="AN16" s="99"/>
    </row>
    <row r="17" spans="1:40" x14ac:dyDescent="0.35">
      <c r="A17" s="239" t="s">
        <v>170</v>
      </c>
      <c r="B17" s="240" t="s">
        <v>169</v>
      </c>
      <c r="C17" s="241" t="s">
        <v>168</v>
      </c>
      <c r="D17" s="242"/>
      <c r="E17" s="243"/>
      <c r="H17" s="101">
        <v>20</v>
      </c>
      <c r="I17" s="101">
        <v>21</v>
      </c>
      <c r="J17" s="101">
        <v>22</v>
      </c>
      <c r="K17" s="100"/>
      <c r="AN17" s="99"/>
    </row>
    <row r="18" spans="1:40" s="104" customFormat="1" ht="30" customHeight="1" x14ac:dyDescent="0.35">
      <c r="A18" s="239"/>
      <c r="B18" s="240"/>
      <c r="C18" s="107" t="s">
        <v>167</v>
      </c>
      <c r="D18" s="107" t="s">
        <v>175</v>
      </c>
      <c r="E18" s="107" t="s">
        <v>166</v>
      </c>
      <c r="F18" s="106"/>
      <c r="G18" s="106"/>
      <c r="H18" s="101">
        <v>28982432.670000002</v>
      </c>
      <c r="I18" s="101"/>
      <c r="J18" s="101"/>
      <c r="K18" s="105"/>
      <c r="L18" s="101">
        <f>28982.4</f>
        <v>28982.400000000001</v>
      </c>
      <c r="M18" s="101"/>
      <c r="N18" s="101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</row>
    <row r="19" spans="1:40" x14ac:dyDescent="0.35">
      <c r="A19" s="103">
        <v>2014</v>
      </c>
      <c r="B19" s="102">
        <v>120816.8</v>
      </c>
      <c r="C19" s="102">
        <f t="shared" ref="C19:C24" si="1">B19-E19</f>
        <v>52030.400000000009</v>
      </c>
      <c r="D19" s="102">
        <v>0</v>
      </c>
      <c r="E19" s="102">
        <v>68786.399999999994</v>
      </c>
      <c r="H19" s="101">
        <v>2507839</v>
      </c>
      <c r="K19" s="100"/>
      <c r="L19" s="101">
        <v>2507.8000000000002</v>
      </c>
      <c r="M19" s="101"/>
      <c r="N19" s="101"/>
      <c r="AN19" s="99"/>
    </row>
    <row r="20" spans="1:40" x14ac:dyDescent="0.35">
      <c r="A20" s="103">
        <v>2015</v>
      </c>
      <c r="B20" s="102">
        <v>121538.2</v>
      </c>
      <c r="C20" s="102">
        <f t="shared" si="1"/>
        <v>61234.2</v>
      </c>
      <c r="D20" s="102">
        <v>0</v>
      </c>
      <c r="E20" s="102">
        <v>60304</v>
      </c>
      <c r="H20" s="101">
        <v>2456.21</v>
      </c>
      <c r="I20" s="101">
        <v>8596.4699999999993</v>
      </c>
      <c r="J20" s="101">
        <v>11052.63</v>
      </c>
      <c r="K20" s="100"/>
      <c r="L20" s="101">
        <v>2.5</v>
      </c>
      <c r="M20" s="101">
        <v>8.6</v>
      </c>
      <c r="N20" s="101">
        <v>11.1</v>
      </c>
      <c r="AN20" s="99"/>
    </row>
    <row r="21" spans="1:40" x14ac:dyDescent="0.35">
      <c r="A21" s="103">
        <v>2016</v>
      </c>
      <c r="B21" s="102">
        <v>123380.4</v>
      </c>
      <c r="C21" s="102">
        <f t="shared" si="1"/>
        <v>63534.299999999996</v>
      </c>
      <c r="D21" s="102">
        <v>0</v>
      </c>
      <c r="E21" s="102">
        <v>59846.1</v>
      </c>
      <c r="H21" s="101">
        <v>46668</v>
      </c>
      <c r="I21" s="101">
        <v>163333</v>
      </c>
      <c r="J21" s="101">
        <v>210000</v>
      </c>
      <c r="K21" s="100"/>
      <c r="L21" s="101">
        <v>46.7</v>
      </c>
      <c r="M21" s="101">
        <v>163.30000000000001</v>
      </c>
      <c r="N21" s="101">
        <v>210</v>
      </c>
      <c r="AN21" s="99"/>
    </row>
    <row r="22" spans="1:40" x14ac:dyDescent="0.35">
      <c r="A22" s="103">
        <v>2017</v>
      </c>
      <c r="B22" s="102">
        <v>122213.3</v>
      </c>
      <c r="C22" s="102">
        <f t="shared" si="1"/>
        <v>63015.3</v>
      </c>
      <c r="D22" s="102">
        <v>0</v>
      </c>
      <c r="E22" s="102">
        <v>59198</v>
      </c>
      <c r="H22" s="101">
        <f>ROUND(SUM(H18:H21)/1000,1)</f>
        <v>31539.4</v>
      </c>
      <c r="I22" s="101">
        <f t="shared" ref="I22:J22" si="2">ROUND(SUM(I18:I21)/1000,1)</f>
        <v>171.9</v>
      </c>
      <c r="J22" s="101">
        <f t="shared" si="2"/>
        <v>221.1</v>
      </c>
      <c r="K22" s="100"/>
      <c r="L22" s="100">
        <f>SUM(L18:L21)</f>
        <v>31539.4</v>
      </c>
      <c r="M22" s="100">
        <f t="shared" ref="M22:N22" si="3">SUM(M18:M21)</f>
        <v>171.9</v>
      </c>
      <c r="N22" s="100">
        <f t="shared" si="3"/>
        <v>221.1</v>
      </c>
      <c r="AN22" s="99"/>
    </row>
    <row r="23" spans="1:40" x14ac:dyDescent="0.35">
      <c r="A23" s="103">
        <v>2018</v>
      </c>
      <c r="B23" s="102">
        <v>138625.79999999999</v>
      </c>
      <c r="C23" s="102">
        <f t="shared" si="1"/>
        <v>61364.399999999994</v>
      </c>
      <c r="D23" s="102">
        <v>0</v>
      </c>
      <c r="E23" s="102">
        <v>77261.399999999994</v>
      </c>
      <c r="K23" s="100"/>
      <c r="AN23" s="99"/>
    </row>
    <row r="24" spans="1:40" x14ac:dyDescent="0.35">
      <c r="A24" s="103">
        <v>2019</v>
      </c>
      <c r="B24" s="102">
        <v>142144.5</v>
      </c>
      <c r="C24" s="102">
        <f t="shared" si="1"/>
        <v>74692.399999999994</v>
      </c>
      <c r="D24" s="102">
        <v>0</v>
      </c>
      <c r="E24" s="102">
        <v>67452.100000000006</v>
      </c>
      <c r="K24" s="100"/>
      <c r="L24" s="100">
        <v>31536.9</v>
      </c>
      <c r="AN24" s="99"/>
    </row>
    <row r="25" spans="1:40" x14ac:dyDescent="0.35">
      <c r="A25" s="103">
        <v>2020</v>
      </c>
      <c r="B25" s="102">
        <f>'План-реал'!G53</f>
        <v>189637.7</v>
      </c>
      <c r="C25" s="102">
        <f>'План-реал'!G46+'План-реал'!G48+'План-реал'!G51</f>
        <v>79085</v>
      </c>
      <c r="D25" s="102">
        <f>'План-реал'!G49</f>
        <v>1807.7</v>
      </c>
      <c r="E25" s="102">
        <f>'План-реал'!G47+'План-реал'!G50+'План-реал'!G52</f>
        <v>108745</v>
      </c>
      <c r="F25" s="108">
        <f>SUM(C25:E25)-B25</f>
        <v>0</v>
      </c>
      <c r="G25" s="101">
        <v>157335.29999999999</v>
      </c>
      <c r="H25" s="101">
        <v>155324.20000000001</v>
      </c>
      <c r="I25" s="101">
        <v>158680.79999999999</v>
      </c>
      <c r="K25" s="100"/>
      <c r="L25" s="100">
        <f>L22-L24</f>
        <v>2.5</v>
      </c>
      <c r="AN25" s="99"/>
    </row>
    <row r="26" spans="1:40" x14ac:dyDescent="0.35">
      <c r="A26" s="103">
        <v>2021</v>
      </c>
      <c r="B26" s="102">
        <f>'План-реал'!H53</f>
        <v>155324.20000000001</v>
      </c>
      <c r="C26" s="102">
        <f>'План-реал'!H46</f>
        <v>70765</v>
      </c>
      <c r="D26" s="102">
        <v>0</v>
      </c>
      <c r="E26" s="102">
        <f>+'План-реал'!H47</f>
        <v>84559.2</v>
      </c>
      <c r="F26" s="108">
        <f t="shared" ref="F26:F27" si="4">SUM(C26:E26)-B26</f>
        <v>0</v>
      </c>
      <c r="K26" s="100"/>
      <c r="AN26" s="99"/>
    </row>
    <row r="27" spans="1:40" x14ac:dyDescent="0.35">
      <c r="A27" s="103">
        <v>2022</v>
      </c>
      <c r="B27" s="102">
        <f>'План-реал'!I53</f>
        <v>158680.79999999999</v>
      </c>
      <c r="C27" s="102">
        <f>'План-реал'!I46</f>
        <v>70768</v>
      </c>
      <c r="D27" s="102">
        <v>0</v>
      </c>
      <c r="E27" s="102">
        <f>'План-реал'!I47</f>
        <v>87912.8</v>
      </c>
      <c r="F27" s="108">
        <f t="shared" si="4"/>
        <v>0</v>
      </c>
      <c r="K27" s="100"/>
      <c r="AN27" s="99"/>
    </row>
    <row r="28" spans="1:40" x14ac:dyDescent="0.35">
      <c r="B28" s="245" t="s">
        <v>179</v>
      </c>
      <c r="C28" s="245"/>
      <c r="D28" s="245"/>
    </row>
    <row r="29" spans="1:40" x14ac:dyDescent="0.35">
      <c r="B29" s="101" t="s">
        <v>174</v>
      </c>
      <c r="C29" s="101" t="s">
        <v>173</v>
      </c>
      <c r="E29" s="101" t="s">
        <v>172</v>
      </c>
      <c r="K29" s="100"/>
      <c r="AN29" s="99"/>
    </row>
    <row r="30" spans="1:40" x14ac:dyDescent="0.35">
      <c r="A30" s="99" t="s">
        <v>171</v>
      </c>
      <c r="B30" s="101">
        <f>SUM(B33:B41)</f>
        <v>1201338</v>
      </c>
      <c r="C30" s="101">
        <f>SUM(C33:C41)</f>
        <v>194707.00000000003</v>
      </c>
      <c r="D30" s="101">
        <f>SUM(D33:D41)</f>
        <v>4780.6000000000004</v>
      </c>
      <c r="E30" s="101">
        <f>SUM(E33:E41)</f>
        <v>1001850.4</v>
      </c>
      <c r="K30" s="100"/>
      <c r="AN30" s="99"/>
    </row>
    <row r="31" spans="1:40" x14ac:dyDescent="0.35">
      <c r="A31" s="239" t="s">
        <v>170</v>
      </c>
      <c r="B31" s="240" t="s">
        <v>169</v>
      </c>
      <c r="C31" s="241" t="s">
        <v>168</v>
      </c>
      <c r="D31" s="242"/>
      <c r="E31" s="243"/>
      <c r="J31" s="100"/>
      <c r="K31" s="100"/>
      <c r="AM31" s="99"/>
      <c r="AN31" s="99"/>
    </row>
    <row r="32" spans="1:40" s="104" customFormat="1" ht="30" customHeight="1" x14ac:dyDescent="0.35">
      <c r="A32" s="239"/>
      <c r="B32" s="240"/>
      <c r="C32" s="107" t="s">
        <v>167</v>
      </c>
      <c r="D32" s="131" t="s">
        <v>175</v>
      </c>
      <c r="E32" s="107" t="s">
        <v>166</v>
      </c>
      <c r="F32" s="106"/>
      <c r="G32" s="106"/>
      <c r="H32" s="106"/>
      <c r="I32" s="106"/>
      <c r="J32" s="106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</row>
    <row r="33" spans="1:40" x14ac:dyDescent="0.35">
      <c r="A33" s="103">
        <v>2014</v>
      </c>
      <c r="B33" s="102">
        <v>115900.2</v>
      </c>
      <c r="C33" s="102">
        <f t="shared" ref="C33:C38" si="5">B33-E33</f>
        <v>20978.399999999994</v>
      </c>
      <c r="D33" s="102">
        <v>0</v>
      </c>
      <c r="E33" s="102">
        <v>94921.8</v>
      </c>
      <c r="K33" s="100"/>
      <c r="AN33" s="99"/>
    </row>
    <row r="34" spans="1:40" x14ac:dyDescent="0.35">
      <c r="A34" s="103">
        <v>2015</v>
      </c>
      <c r="B34" s="102">
        <v>117139.5</v>
      </c>
      <c r="C34" s="102">
        <f t="shared" si="5"/>
        <v>19043.100000000006</v>
      </c>
      <c r="D34" s="102">
        <v>0</v>
      </c>
      <c r="E34" s="102">
        <v>98096.4</v>
      </c>
      <c r="K34" s="100"/>
      <c r="AN34" s="99"/>
    </row>
    <row r="35" spans="1:40" x14ac:dyDescent="0.35">
      <c r="A35" s="103">
        <v>2016</v>
      </c>
      <c r="B35" s="102">
        <v>123258.5</v>
      </c>
      <c r="C35" s="102">
        <f t="shared" si="5"/>
        <v>24597.699999999997</v>
      </c>
      <c r="D35" s="102">
        <v>0</v>
      </c>
      <c r="E35" s="102">
        <v>98660.800000000003</v>
      </c>
      <c r="K35" s="100"/>
      <c r="AN35" s="99"/>
    </row>
    <row r="36" spans="1:40" x14ac:dyDescent="0.35">
      <c r="A36" s="103">
        <v>2017</v>
      </c>
      <c r="B36" s="102">
        <v>128752.6</v>
      </c>
      <c r="C36" s="102">
        <f t="shared" si="5"/>
        <v>27414.900000000009</v>
      </c>
      <c r="D36" s="102">
        <v>0</v>
      </c>
      <c r="E36" s="102">
        <v>101337.7</v>
      </c>
      <c r="K36" s="100"/>
      <c r="AN36" s="99"/>
    </row>
    <row r="37" spans="1:40" x14ac:dyDescent="0.35">
      <c r="A37" s="103">
        <v>2018</v>
      </c>
      <c r="B37" s="102">
        <v>135847</v>
      </c>
      <c r="C37" s="102">
        <f t="shared" si="5"/>
        <v>20714.5</v>
      </c>
      <c r="D37" s="102">
        <v>0</v>
      </c>
      <c r="E37" s="102">
        <v>115132.5</v>
      </c>
      <c r="K37" s="100"/>
      <c r="AN37" s="99"/>
    </row>
    <row r="38" spans="1:40" x14ac:dyDescent="0.35">
      <c r="A38" s="103">
        <v>2019</v>
      </c>
      <c r="B38" s="102">
        <v>136573.5</v>
      </c>
      <c r="C38" s="102">
        <f t="shared" si="5"/>
        <v>23634.100000000006</v>
      </c>
      <c r="D38" s="102">
        <v>0</v>
      </c>
      <c r="E38" s="102">
        <v>112939.4</v>
      </c>
      <c r="K38" s="100"/>
      <c r="AN38" s="99"/>
    </row>
    <row r="39" spans="1:40" x14ac:dyDescent="0.35">
      <c r="A39" s="103">
        <v>2020</v>
      </c>
      <c r="B39" s="102">
        <f>'План-реал'!G89</f>
        <v>144038.20000000001</v>
      </c>
      <c r="C39" s="102">
        <f>SUM('План-реал'!G87,'План-реал'!G80,'План-реал'!G71,'План-реал'!G69,'План-реал'!G66)</f>
        <v>22108.100000000002</v>
      </c>
      <c r="D39" s="102">
        <f>SUM('План-реал'!G85)</f>
        <v>4780.6000000000004</v>
      </c>
      <c r="E39" s="102">
        <f>SUM('План-реал'!G86,'План-реал'!G81,'План-реал'!G75,'План-реал'!G70,'План-реал'!G68,'План-реал'!G67)</f>
        <v>117149.5</v>
      </c>
      <c r="F39" s="108">
        <f>SUM(C39:E39)-B39</f>
        <v>0</v>
      </c>
      <c r="G39" s="101">
        <v>138496.50000000003</v>
      </c>
      <c r="H39" s="101">
        <v>146741.19999999998</v>
      </c>
      <c r="I39" s="101">
        <v>152714.00000000003</v>
      </c>
      <c r="K39" s="100"/>
      <c r="AN39" s="99"/>
    </row>
    <row r="40" spans="1:40" x14ac:dyDescent="0.35">
      <c r="A40" s="103">
        <v>2021</v>
      </c>
      <c r="B40" s="102">
        <f>'План-реал'!H89</f>
        <v>146904.49999999997</v>
      </c>
      <c r="C40" s="102">
        <f>SUM('План-реал'!H66,'План-реал'!H69,'План-реал'!H71,'План-реал'!H80,'План-реал'!H87)</f>
        <v>18108.100000000002</v>
      </c>
      <c r="D40" s="102">
        <v>0</v>
      </c>
      <c r="E40" s="102">
        <f>SUM('План-реал'!H86,'План-реал'!H81,'План-реал'!H75,'План-реал'!H70,'План-реал'!H68,'План-реал'!H67)</f>
        <v>128796.4</v>
      </c>
      <c r="F40" s="108">
        <f>SUM(C40:E40)-B40</f>
        <v>0</v>
      </c>
      <c r="G40" s="101">
        <v>116388.40000000001</v>
      </c>
      <c r="H40" s="101">
        <v>128633.1</v>
      </c>
      <c r="I40" s="101">
        <v>134605.9</v>
      </c>
      <c r="K40" s="100"/>
      <c r="AN40" s="99"/>
    </row>
    <row r="41" spans="1:40" x14ac:dyDescent="0.35">
      <c r="A41" s="103">
        <v>2022</v>
      </c>
      <c r="B41" s="102">
        <f>'План-реал'!I89</f>
        <v>152924.00000000003</v>
      </c>
      <c r="C41" s="102">
        <f>SUM('План-реал'!I66,'План-реал'!I69,'План-реал'!I71,'План-реал'!I80,'План-реал'!I87)</f>
        <v>18108.099999999999</v>
      </c>
      <c r="D41" s="102">
        <v>0</v>
      </c>
      <c r="E41" s="102">
        <f>SUM('План-реал'!I67,'План-реал'!I68,'План-реал'!I70,'План-реал'!I75,'План-реал'!I81,'План-реал'!I86)</f>
        <v>134815.9</v>
      </c>
      <c r="F41" s="108">
        <f>SUM(C41:E41)-B41</f>
        <v>0</v>
      </c>
      <c r="K41" s="100"/>
      <c r="AN41" s="99"/>
    </row>
    <row r="42" spans="1:40" x14ac:dyDescent="0.35">
      <c r="A42" s="244" t="s">
        <v>193</v>
      </c>
      <c r="B42" s="244"/>
      <c r="C42" s="244"/>
      <c r="D42" s="244"/>
    </row>
    <row r="43" spans="1:40" x14ac:dyDescent="0.35">
      <c r="B43" s="101" t="s">
        <v>174</v>
      </c>
      <c r="C43" s="101" t="s">
        <v>173</v>
      </c>
      <c r="E43" s="101" t="s">
        <v>172</v>
      </c>
      <c r="K43" s="100"/>
      <c r="AN43" s="99"/>
    </row>
    <row r="44" spans="1:40" x14ac:dyDescent="0.35">
      <c r="A44" s="99" t="s">
        <v>171</v>
      </c>
      <c r="B44" s="101">
        <f>SUM(B47:B55)</f>
        <v>88326.300000000017</v>
      </c>
      <c r="C44" s="101">
        <f>SUM(C47:C55)</f>
        <v>87243.7</v>
      </c>
      <c r="D44" s="101">
        <f>SUM(D47:D55)</f>
        <v>1082.5999999999999</v>
      </c>
      <c r="E44" s="101">
        <f>SUM(D47:D55)</f>
        <v>1082.5999999999999</v>
      </c>
      <c r="K44" s="100"/>
      <c r="AN44" s="99"/>
    </row>
    <row r="45" spans="1:40" x14ac:dyDescent="0.35">
      <c r="A45" s="239" t="s">
        <v>170</v>
      </c>
      <c r="B45" s="240" t="s">
        <v>169</v>
      </c>
      <c r="C45" s="117" t="s">
        <v>168</v>
      </c>
      <c r="D45" s="118"/>
      <c r="J45" s="100"/>
      <c r="K45" s="100"/>
      <c r="AM45" s="99"/>
      <c r="AN45" s="99"/>
    </row>
    <row r="46" spans="1:40" s="104" customFormat="1" ht="30" customHeight="1" x14ac:dyDescent="0.35">
      <c r="A46" s="239"/>
      <c r="B46" s="240"/>
      <c r="C46" s="107" t="s">
        <v>167</v>
      </c>
      <c r="D46" s="107" t="s">
        <v>166</v>
      </c>
      <c r="E46" s="106"/>
      <c r="F46" s="106"/>
      <c r="G46" s="106"/>
      <c r="H46" s="106"/>
      <c r="I46" s="106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</row>
    <row r="47" spans="1:40" x14ac:dyDescent="0.35">
      <c r="A47" s="103">
        <v>2014</v>
      </c>
      <c r="B47" s="102">
        <v>8386.7999999999993</v>
      </c>
      <c r="C47" s="102">
        <f t="shared" ref="C47:C55" si="6">B47-D47</f>
        <v>8386.7999999999993</v>
      </c>
      <c r="D47" s="102">
        <v>0</v>
      </c>
      <c r="J47" s="100"/>
      <c r="K47" s="100"/>
      <c r="AM47" s="99"/>
      <c r="AN47" s="99"/>
    </row>
    <row r="48" spans="1:40" x14ac:dyDescent="0.35">
      <c r="A48" s="103">
        <v>2015</v>
      </c>
      <c r="B48" s="102">
        <v>9040.1</v>
      </c>
      <c r="C48" s="102">
        <f t="shared" si="6"/>
        <v>9040.1</v>
      </c>
      <c r="D48" s="102">
        <v>0</v>
      </c>
      <c r="J48" s="100"/>
      <c r="K48" s="100"/>
      <c r="AM48" s="99"/>
      <c r="AN48" s="99"/>
    </row>
    <row r="49" spans="1:40" x14ac:dyDescent="0.35">
      <c r="A49" s="103">
        <v>2016</v>
      </c>
      <c r="B49" s="102">
        <v>10346.5</v>
      </c>
      <c r="C49" s="102">
        <f t="shared" si="6"/>
        <v>10200.4</v>
      </c>
      <c r="D49" s="102">
        <v>146.1</v>
      </c>
      <c r="J49" s="100"/>
      <c r="K49" s="100"/>
      <c r="AM49" s="99"/>
      <c r="AN49" s="99"/>
    </row>
    <row r="50" spans="1:40" x14ac:dyDescent="0.35">
      <c r="A50" s="103">
        <v>2017</v>
      </c>
      <c r="B50" s="102">
        <v>8690.7000000000007</v>
      </c>
      <c r="C50" s="102">
        <f t="shared" si="6"/>
        <v>8617.4000000000015</v>
      </c>
      <c r="D50" s="102">
        <v>73.3</v>
      </c>
      <c r="J50" s="100"/>
      <c r="K50" s="100"/>
      <c r="AM50" s="99"/>
      <c r="AN50" s="99"/>
    </row>
    <row r="51" spans="1:40" x14ac:dyDescent="0.35">
      <c r="A51" s="103">
        <v>2018</v>
      </c>
      <c r="B51" s="102">
        <v>9736.2999999999993</v>
      </c>
      <c r="C51" s="102">
        <f t="shared" si="6"/>
        <v>9669.6999999999989</v>
      </c>
      <c r="D51" s="102">
        <v>66.599999999999994</v>
      </c>
      <c r="J51" s="100"/>
      <c r="K51" s="100"/>
      <c r="AM51" s="99"/>
      <c r="AN51" s="99"/>
    </row>
    <row r="52" spans="1:40" x14ac:dyDescent="0.35">
      <c r="A52" s="103">
        <v>2019</v>
      </c>
      <c r="B52" s="102">
        <v>10668.8</v>
      </c>
      <c r="C52" s="102">
        <f t="shared" si="6"/>
        <v>9872.1999999999989</v>
      </c>
      <c r="D52" s="102">
        <v>796.6</v>
      </c>
      <c r="J52" s="100"/>
      <c r="K52" s="100"/>
      <c r="AM52" s="99"/>
      <c r="AN52" s="99"/>
    </row>
    <row r="53" spans="1:40" x14ac:dyDescent="0.35">
      <c r="A53" s="103">
        <v>2020</v>
      </c>
      <c r="B53" s="102">
        <f>'План-реал'!G104</f>
        <v>11337.099999999999</v>
      </c>
      <c r="C53" s="102">
        <f t="shared" si="6"/>
        <v>11337.099999999999</v>
      </c>
      <c r="D53" s="102">
        <v>0</v>
      </c>
      <c r="F53" s="101">
        <v>10060</v>
      </c>
      <c r="G53" s="101">
        <v>10060</v>
      </c>
      <c r="H53" s="101">
        <v>10060</v>
      </c>
      <c r="J53" s="100"/>
      <c r="K53" s="100"/>
      <c r="AM53" s="99"/>
      <c r="AN53" s="99"/>
    </row>
    <row r="54" spans="1:40" x14ac:dyDescent="0.35">
      <c r="A54" s="103">
        <v>2021</v>
      </c>
      <c r="B54" s="102">
        <v>10060</v>
      </c>
      <c r="C54" s="102">
        <f t="shared" si="6"/>
        <v>10060</v>
      </c>
      <c r="D54" s="102">
        <v>0</v>
      </c>
      <c r="J54" s="100"/>
      <c r="K54" s="100"/>
      <c r="AM54" s="99"/>
      <c r="AN54" s="99"/>
    </row>
    <row r="55" spans="1:40" x14ac:dyDescent="0.35">
      <c r="A55" s="103">
        <v>2022</v>
      </c>
      <c r="B55" s="102">
        <v>10060</v>
      </c>
      <c r="C55" s="102">
        <f t="shared" si="6"/>
        <v>10060</v>
      </c>
      <c r="D55" s="102">
        <v>0</v>
      </c>
      <c r="J55" s="100"/>
      <c r="K55" s="100"/>
      <c r="AM55" s="99"/>
      <c r="AN55" s="99"/>
    </row>
    <row r="57" spans="1:40" x14ac:dyDescent="0.35">
      <c r="B57" s="101" t="s">
        <v>174</v>
      </c>
      <c r="C57" s="101" t="s">
        <v>173</v>
      </c>
      <c r="E57" s="101" t="s">
        <v>172</v>
      </c>
      <c r="K57" s="100"/>
      <c r="AN57" s="99"/>
    </row>
    <row r="58" spans="1:40" x14ac:dyDescent="0.35">
      <c r="A58" s="99" t="s">
        <v>171</v>
      </c>
      <c r="B58" s="101">
        <f>SUM(B61:B69)</f>
        <v>11587.8</v>
      </c>
      <c r="C58" s="101">
        <f>SUM(C61:C69)</f>
        <v>2371.6000000000004</v>
      </c>
      <c r="E58" s="101">
        <f>SUM(E61:E69)</f>
        <v>9216.1999999999989</v>
      </c>
      <c r="K58" s="100"/>
      <c r="AN58" s="99"/>
    </row>
    <row r="59" spans="1:40" x14ac:dyDescent="0.35">
      <c r="A59" s="239" t="s">
        <v>170</v>
      </c>
      <c r="B59" s="240" t="s">
        <v>169</v>
      </c>
      <c r="C59" s="241" t="s">
        <v>168</v>
      </c>
      <c r="D59" s="242"/>
      <c r="E59" s="243"/>
      <c r="K59" s="100"/>
      <c r="AN59" s="99"/>
    </row>
    <row r="60" spans="1:40" s="104" customFormat="1" ht="30" customHeight="1" x14ac:dyDescent="0.35">
      <c r="A60" s="239"/>
      <c r="B60" s="240"/>
      <c r="C60" s="107" t="s">
        <v>167</v>
      </c>
      <c r="D60" s="107"/>
      <c r="E60" s="107" t="s">
        <v>166</v>
      </c>
      <c r="F60" s="106"/>
      <c r="G60" s="106"/>
      <c r="H60" s="106"/>
      <c r="I60" s="106"/>
      <c r="J60" s="106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</row>
    <row r="61" spans="1:40" x14ac:dyDescent="0.35">
      <c r="A61" s="103">
        <v>2014</v>
      </c>
      <c r="B61" s="102">
        <v>1764.2</v>
      </c>
      <c r="C61" s="102">
        <f t="shared" ref="C61:C69" si="7">B61-E61</f>
        <v>530</v>
      </c>
      <c r="D61" s="102"/>
      <c r="E61" s="102">
        <v>1234.2</v>
      </c>
      <c r="K61" s="100"/>
      <c r="AN61" s="99"/>
    </row>
    <row r="62" spans="1:40" x14ac:dyDescent="0.35">
      <c r="A62" s="103">
        <v>2015</v>
      </c>
      <c r="B62" s="102">
        <v>1960.6</v>
      </c>
      <c r="C62" s="102">
        <f t="shared" si="7"/>
        <v>720.3</v>
      </c>
      <c r="D62" s="102"/>
      <c r="E62" s="102">
        <v>1240.3</v>
      </c>
      <c r="K62" s="100"/>
      <c r="AN62" s="99"/>
    </row>
    <row r="63" spans="1:40" x14ac:dyDescent="0.35">
      <c r="A63" s="103">
        <v>2016</v>
      </c>
      <c r="B63" s="102">
        <v>1718.7</v>
      </c>
      <c r="C63" s="102">
        <f t="shared" si="7"/>
        <v>555.5</v>
      </c>
      <c r="D63" s="102"/>
      <c r="E63" s="102">
        <v>1163.2</v>
      </c>
      <c r="K63" s="100"/>
      <c r="AN63" s="99"/>
    </row>
    <row r="64" spans="1:40" x14ac:dyDescent="0.35">
      <c r="A64" s="103">
        <v>2017</v>
      </c>
      <c r="B64" s="102">
        <v>1645.1</v>
      </c>
      <c r="C64" s="102">
        <f t="shared" si="7"/>
        <v>511</v>
      </c>
      <c r="D64" s="102"/>
      <c r="E64" s="102">
        <v>1134.0999999999999</v>
      </c>
      <c r="K64" s="100"/>
      <c r="AN64" s="99"/>
    </row>
    <row r="65" spans="1:40" x14ac:dyDescent="0.35">
      <c r="A65" s="103">
        <v>2018</v>
      </c>
      <c r="B65" s="102">
        <v>1081.4000000000001</v>
      </c>
      <c r="C65" s="102">
        <f t="shared" si="7"/>
        <v>54.800000000000182</v>
      </c>
      <c r="D65" s="102"/>
      <c r="E65" s="102">
        <v>1026.5999999999999</v>
      </c>
      <c r="K65" s="100"/>
      <c r="AN65" s="99"/>
    </row>
    <row r="66" spans="1:40" x14ac:dyDescent="0.35">
      <c r="A66" s="103">
        <v>2019</v>
      </c>
      <c r="B66" s="102">
        <v>861</v>
      </c>
      <c r="C66" s="102">
        <f t="shared" si="7"/>
        <v>0</v>
      </c>
      <c r="D66" s="102"/>
      <c r="E66" s="102">
        <v>861</v>
      </c>
      <c r="K66" s="100"/>
      <c r="AN66" s="99"/>
    </row>
    <row r="67" spans="1:40" x14ac:dyDescent="0.35">
      <c r="A67" s="103">
        <v>2020</v>
      </c>
      <c r="B67" s="102">
        <v>851.1</v>
      </c>
      <c r="C67" s="102">
        <f t="shared" si="7"/>
        <v>0</v>
      </c>
      <c r="D67" s="102"/>
      <c r="E67" s="102">
        <v>851.1</v>
      </c>
      <c r="G67" s="101">
        <v>10060</v>
      </c>
      <c r="H67" s="101">
        <v>10060</v>
      </c>
      <c r="I67" s="101">
        <v>10060</v>
      </c>
      <c r="K67" s="100"/>
      <c r="AN67" s="99"/>
    </row>
    <row r="68" spans="1:40" x14ac:dyDescent="0.35">
      <c r="A68" s="103">
        <v>2021</v>
      </c>
      <c r="B68" s="102">
        <v>851.8</v>
      </c>
      <c r="C68" s="102">
        <f t="shared" si="7"/>
        <v>0</v>
      </c>
      <c r="D68" s="102"/>
      <c r="E68" s="102">
        <v>851.8</v>
      </c>
      <c r="K68" s="100"/>
      <c r="AN68" s="99"/>
    </row>
    <row r="69" spans="1:40" x14ac:dyDescent="0.35">
      <c r="A69" s="103">
        <v>2022</v>
      </c>
      <c r="B69" s="102">
        <v>853.9</v>
      </c>
      <c r="C69" s="102">
        <f t="shared" si="7"/>
        <v>0</v>
      </c>
      <c r="D69" s="102"/>
      <c r="E69" s="102">
        <v>853.9</v>
      </c>
      <c r="K69" s="100"/>
      <c r="AN69" s="99"/>
    </row>
    <row r="71" spans="1:40" x14ac:dyDescent="0.35">
      <c r="B71" s="101" t="s">
        <v>174</v>
      </c>
      <c r="C71" s="101" t="s">
        <v>173</v>
      </c>
      <c r="E71" s="101" t="s">
        <v>172</v>
      </c>
      <c r="K71" s="100"/>
      <c r="AN71" s="99"/>
    </row>
    <row r="72" spans="1:40" x14ac:dyDescent="0.35">
      <c r="A72" s="99" t="s">
        <v>171</v>
      </c>
      <c r="B72" s="101">
        <f>SUM(B75:B83)</f>
        <v>30664.799999999999</v>
      </c>
      <c r="C72" s="101">
        <f>SUM(C75:C83)</f>
        <v>30664.799999999999</v>
      </c>
      <c r="E72" s="101">
        <f>SUM(E75:E83)</f>
        <v>0</v>
      </c>
      <c r="K72" s="100"/>
      <c r="AN72" s="99"/>
    </row>
    <row r="73" spans="1:40" x14ac:dyDescent="0.35">
      <c r="A73" s="239" t="s">
        <v>170</v>
      </c>
      <c r="B73" s="240" t="s">
        <v>169</v>
      </c>
      <c r="C73" s="241" t="s">
        <v>168</v>
      </c>
      <c r="D73" s="242"/>
      <c r="E73" s="243"/>
      <c r="K73" s="100"/>
      <c r="AN73" s="99"/>
    </row>
    <row r="74" spans="1:40" s="104" customFormat="1" ht="30" customHeight="1" x14ac:dyDescent="0.35">
      <c r="A74" s="239"/>
      <c r="B74" s="240"/>
      <c r="C74" s="107" t="s">
        <v>167</v>
      </c>
      <c r="D74" s="107"/>
      <c r="E74" s="107" t="s">
        <v>166</v>
      </c>
      <c r="F74" s="106"/>
      <c r="G74" s="106"/>
      <c r="H74" s="106"/>
      <c r="I74" s="106"/>
      <c r="J74" s="106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</row>
    <row r="75" spans="1:40" x14ac:dyDescent="0.35">
      <c r="A75" s="103">
        <v>2014</v>
      </c>
      <c r="B75" s="102">
        <v>3108.5</v>
      </c>
      <c r="C75" s="102">
        <f t="shared" ref="C75:C83" si="8">B75-E75</f>
        <v>3108.5</v>
      </c>
      <c r="D75" s="102"/>
      <c r="E75" s="102"/>
      <c r="K75" s="100"/>
      <c r="AN75" s="99"/>
    </row>
    <row r="76" spans="1:40" x14ac:dyDescent="0.35">
      <c r="A76" s="103">
        <v>2015</v>
      </c>
      <c r="B76" s="102">
        <v>3526.1</v>
      </c>
      <c r="C76" s="102">
        <f t="shared" si="8"/>
        <v>3526.1</v>
      </c>
      <c r="D76" s="102"/>
      <c r="E76" s="102"/>
      <c r="K76" s="100"/>
      <c r="AN76" s="99"/>
    </row>
    <row r="77" spans="1:40" x14ac:dyDescent="0.35">
      <c r="A77" s="103">
        <v>2016</v>
      </c>
      <c r="B77" s="102">
        <v>3795.2</v>
      </c>
      <c r="C77" s="102">
        <f t="shared" si="8"/>
        <v>3795.2</v>
      </c>
      <c r="D77" s="102"/>
      <c r="E77" s="102"/>
      <c r="K77" s="100"/>
      <c r="AN77" s="99"/>
    </row>
    <row r="78" spans="1:40" x14ac:dyDescent="0.35">
      <c r="A78" s="103">
        <v>2017</v>
      </c>
      <c r="B78" s="102">
        <v>3489.5</v>
      </c>
      <c r="C78" s="102">
        <f t="shared" si="8"/>
        <v>3489.5</v>
      </c>
      <c r="D78" s="102"/>
      <c r="E78" s="102"/>
      <c r="K78" s="100"/>
      <c r="AN78" s="99"/>
    </row>
    <row r="79" spans="1:40" x14ac:dyDescent="0.35">
      <c r="A79" s="103">
        <v>2018</v>
      </c>
      <c r="B79" s="102">
        <v>3042.7</v>
      </c>
      <c r="C79" s="102">
        <f t="shared" si="8"/>
        <v>3042.7</v>
      </c>
      <c r="D79" s="102"/>
      <c r="E79" s="102"/>
      <c r="K79" s="100"/>
      <c r="AN79" s="99"/>
    </row>
    <row r="80" spans="1:40" x14ac:dyDescent="0.35">
      <c r="A80" s="103">
        <v>2019</v>
      </c>
      <c r="B80" s="102">
        <v>3135.6</v>
      </c>
      <c r="C80" s="102">
        <f t="shared" si="8"/>
        <v>3135.6</v>
      </c>
      <c r="D80" s="102"/>
      <c r="E80" s="102"/>
      <c r="K80" s="100"/>
      <c r="AN80" s="99"/>
    </row>
    <row r="81" spans="1:40" x14ac:dyDescent="0.35">
      <c r="A81" s="103">
        <v>2020</v>
      </c>
      <c r="B81" s="102">
        <v>3410.3</v>
      </c>
      <c r="C81" s="102">
        <f t="shared" si="8"/>
        <v>3410.3</v>
      </c>
      <c r="D81" s="102"/>
      <c r="E81" s="102"/>
      <c r="G81" s="101">
        <v>10060</v>
      </c>
      <c r="H81" s="101">
        <v>10060</v>
      </c>
      <c r="I81" s="101">
        <v>10060</v>
      </c>
      <c r="K81" s="100"/>
      <c r="AN81" s="99"/>
    </row>
    <row r="82" spans="1:40" x14ac:dyDescent="0.35">
      <c r="A82" s="103">
        <v>2021</v>
      </c>
      <c r="B82" s="102">
        <v>3513</v>
      </c>
      <c r="C82" s="102">
        <f t="shared" si="8"/>
        <v>3513</v>
      </c>
      <c r="D82" s="102"/>
      <c r="E82" s="102"/>
      <c r="K82" s="100"/>
      <c r="AN82" s="99"/>
    </row>
    <row r="83" spans="1:40" x14ac:dyDescent="0.35">
      <c r="A83" s="103">
        <v>2022</v>
      </c>
      <c r="B83" s="102">
        <v>3643.9</v>
      </c>
      <c r="C83" s="102">
        <f t="shared" si="8"/>
        <v>3643.9</v>
      </c>
      <c r="D83" s="102"/>
      <c r="E83" s="102"/>
      <c r="K83" s="100"/>
      <c r="AN83" s="99"/>
    </row>
  </sheetData>
  <mergeCells count="20">
    <mergeCell ref="A42:D42"/>
    <mergeCell ref="C3:E3"/>
    <mergeCell ref="A17:A18"/>
    <mergeCell ref="B17:B18"/>
    <mergeCell ref="C17:E17"/>
    <mergeCell ref="A31:A32"/>
    <mergeCell ref="B31:B32"/>
    <mergeCell ref="B3:B4"/>
    <mergeCell ref="A3:A4"/>
    <mergeCell ref="B14:D14"/>
    <mergeCell ref="B28:D28"/>
    <mergeCell ref="C31:E31"/>
    <mergeCell ref="A73:A74"/>
    <mergeCell ref="B73:B74"/>
    <mergeCell ref="C73:E73"/>
    <mergeCell ref="A45:A46"/>
    <mergeCell ref="B45:B46"/>
    <mergeCell ref="A59:A60"/>
    <mergeCell ref="B59:B60"/>
    <mergeCell ref="C59:E5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4.5" x14ac:dyDescent="0.35"/>
  <cols>
    <col min="4" max="4" width="11.453125" style="119" customWidth="1"/>
    <col min="5" max="5" width="10.453125" customWidth="1"/>
    <col min="6" max="6" width="13.1796875" customWidth="1"/>
    <col min="7" max="8" width="12.453125" customWidth="1"/>
    <col min="9" max="10" width="11.81640625" bestFit="1" customWidth="1"/>
  </cols>
  <sheetData>
    <row r="1" spans="1:10" x14ac:dyDescent="0.35">
      <c r="E1" t="s">
        <v>194</v>
      </c>
    </row>
    <row r="2" spans="1:10" x14ac:dyDescent="0.35">
      <c r="A2" t="s">
        <v>191</v>
      </c>
      <c r="B2">
        <v>280</v>
      </c>
      <c r="C2">
        <v>5000</v>
      </c>
      <c r="D2" s="119">
        <v>772800</v>
      </c>
      <c r="E2" s="116">
        <v>772.8</v>
      </c>
    </row>
    <row r="3" spans="1:10" x14ac:dyDescent="0.35">
      <c r="A3" t="s">
        <v>192</v>
      </c>
      <c r="B3">
        <v>111</v>
      </c>
      <c r="C3">
        <v>5000</v>
      </c>
      <c r="D3" s="119">
        <v>504000</v>
      </c>
      <c r="E3" s="116">
        <v>504.3</v>
      </c>
      <c r="F3" s="115">
        <f>SUM(E2:E3)</f>
        <v>1277.0999999999999</v>
      </c>
    </row>
    <row r="4" spans="1:10" x14ac:dyDescent="0.35">
      <c r="A4" t="s">
        <v>193</v>
      </c>
      <c r="B4">
        <f>1245-B3-B2</f>
        <v>854</v>
      </c>
      <c r="C4">
        <v>5000</v>
      </c>
      <c r="D4" s="119">
        <v>4802945.08</v>
      </c>
      <c r="E4" s="116">
        <v>4802.8999999999996</v>
      </c>
    </row>
    <row r="5" spans="1:10" x14ac:dyDescent="0.35">
      <c r="B5">
        <f>SUM(B2:B4)</f>
        <v>1245</v>
      </c>
      <c r="D5" s="119">
        <f>SUM(D2:D4)</f>
        <v>6079745.0800000001</v>
      </c>
      <c r="E5" s="116">
        <f>SUM(E2:E4)</f>
        <v>6080</v>
      </c>
    </row>
    <row r="6" spans="1:10" x14ac:dyDescent="0.35">
      <c r="D6" s="119">
        <v>254.92</v>
      </c>
    </row>
    <row r="7" spans="1:10" x14ac:dyDescent="0.35">
      <c r="D7" s="119">
        <f>SUM(D5:D6)</f>
        <v>6080000</v>
      </c>
    </row>
    <row r="8" spans="1:10" x14ac:dyDescent="0.35">
      <c r="I8" t="s">
        <v>199</v>
      </c>
      <c r="J8" t="s">
        <v>200</v>
      </c>
    </row>
    <row r="9" spans="1:10" x14ac:dyDescent="0.35">
      <c r="C9">
        <f>D10/D9</f>
        <v>0.17778806086625831</v>
      </c>
      <c r="D9" s="119">
        <v>5162219.08</v>
      </c>
      <c r="E9" s="119">
        <f>D2-F9</f>
        <v>47840</v>
      </c>
      <c r="F9" s="119">
        <v>724960</v>
      </c>
      <c r="G9" t="s">
        <v>196</v>
      </c>
      <c r="H9" t="s">
        <v>203</v>
      </c>
      <c r="I9" s="119">
        <f>-F9-F10-E9-E10</f>
        <v>-1277054.92</v>
      </c>
      <c r="J9" s="119">
        <f>-F11-E11</f>
        <v>-4802945.08</v>
      </c>
    </row>
    <row r="10" spans="1:10" x14ac:dyDescent="0.35">
      <c r="D10" s="119">
        <v>917780.92</v>
      </c>
      <c r="E10" s="119">
        <f>D3+D6-F10</f>
        <v>141950.91999999998</v>
      </c>
      <c r="F10" s="119">
        <v>362304</v>
      </c>
      <c r="G10" t="s">
        <v>198</v>
      </c>
      <c r="H10" t="s">
        <v>202</v>
      </c>
      <c r="I10" s="119">
        <f>F9+F10</f>
        <v>1087264</v>
      </c>
      <c r="J10" s="119">
        <f>F11</f>
        <v>4074955.08</v>
      </c>
    </row>
    <row r="11" spans="1:10" x14ac:dyDescent="0.35">
      <c r="E11" s="119">
        <f>D4-F11</f>
        <v>727990</v>
      </c>
      <c r="F11" s="119">
        <v>4074955.08</v>
      </c>
      <c r="G11" t="s">
        <v>197</v>
      </c>
      <c r="H11" t="s">
        <v>201</v>
      </c>
      <c r="J11" s="119">
        <f>E11+E10+E9</f>
        <v>917780.91999999993</v>
      </c>
    </row>
    <row r="12" spans="1:10" x14ac:dyDescent="0.35">
      <c r="D12" s="119">
        <f>SUM(D2:D3)+D6</f>
        <v>1277054.92</v>
      </c>
      <c r="E12" s="120">
        <f>SUM(E9:E11)</f>
        <v>917780.91999999993</v>
      </c>
      <c r="F12" s="120">
        <f>SUM(F9:F11)</f>
        <v>5162219.08</v>
      </c>
    </row>
    <row r="13" spans="1:10" x14ac:dyDescent="0.35">
      <c r="E13" s="119"/>
      <c r="F13" s="119"/>
    </row>
    <row r="14" spans="1:10" x14ac:dyDescent="0.35">
      <c r="E14" s="119"/>
      <c r="F14" s="119"/>
    </row>
    <row r="15" spans="1:10" x14ac:dyDescent="0.35">
      <c r="F15" t="s">
        <v>3</v>
      </c>
      <c r="G15" s="119" t="s">
        <v>214</v>
      </c>
      <c r="H15" t="s">
        <v>215</v>
      </c>
    </row>
    <row r="16" spans="1:10" x14ac:dyDescent="0.35">
      <c r="E16" t="s">
        <v>198</v>
      </c>
      <c r="F16" s="119">
        <v>11352028.529999999</v>
      </c>
      <c r="G16" s="119">
        <f>F16-F10</f>
        <v>10989724.529999999</v>
      </c>
      <c r="H16" s="119">
        <f>F10</f>
        <v>362304</v>
      </c>
    </row>
    <row r="17" spans="5:8" x14ac:dyDescent="0.35">
      <c r="E17" t="s">
        <v>196</v>
      </c>
      <c r="F17" s="119">
        <v>6435072.5499999998</v>
      </c>
      <c r="G17" s="119">
        <f>F17-F9</f>
        <v>5710112.5499999998</v>
      </c>
      <c r="H17" s="119">
        <f>F9</f>
        <v>724960</v>
      </c>
    </row>
    <row r="18" spans="5:8" x14ac:dyDescent="0.35">
      <c r="F18" s="119">
        <f>SUM(F16:F17)</f>
        <v>17787101.079999998</v>
      </c>
      <c r="G18" s="119">
        <f t="shared" ref="G18:H18" si="0">SUM(G16:G17)</f>
        <v>16699837.079999998</v>
      </c>
      <c r="H18" s="119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2020-09-07T13:27:31Z</dcterms:modified>
</cp:coreProperties>
</file>